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7200" activeTab="5"/>
  </bookViews>
  <sheets>
    <sheet name="熊谷" sheetId="1" r:id="rId1"/>
    <sheet name="東京" sheetId="2" r:id="rId2"/>
    <sheet name="横浜" sheetId="3" r:id="rId3"/>
    <sheet name="千葉" sheetId="4" r:id="rId4"/>
    <sheet name="勝浦" sheetId="5" r:id="rId5"/>
    <sheet name="銚子" sheetId="6" r:id="rId6"/>
    <sheet name="気象関数" sheetId="7" r:id="rId7"/>
  </sheets>
  <definedNames>
    <definedName name="_xlnm.Print_Area" localSheetId="2">'横浜'!$Z$1:$AS$46</definedName>
    <definedName name="_xlnm.Print_Area" localSheetId="0">'熊谷'!$Z$1:$AS$46</definedName>
    <definedName name="_xlnm.Print_Area" localSheetId="4">'勝浦'!$Z$1:$AS$46</definedName>
    <definedName name="_xlnm.Print_Area" localSheetId="3">'千葉'!$Z$1:$AS$46</definedName>
    <definedName name="_xlnm.Print_Area" localSheetId="5">'銚子'!$Z$1:$AS$46</definedName>
    <definedName name="_xlnm.Print_Area" localSheetId="1">'東京'!$Z$1:$AS$46</definedName>
  </definedNames>
  <calcPr fullCalcOnLoad="1"/>
</workbook>
</file>

<file path=xl/sharedStrings.xml><?xml version="1.0" encoding="utf-8"?>
<sst xmlns="http://schemas.openxmlformats.org/spreadsheetml/2006/main" count="845" uniqueCount="164">
  <si>
    <t>入力データ</t>
  </si>
  <si>
    <t>気圧</t>
  </si>
  <si>
    <t>P</t>
  </si>
  <si>
    <t>hPa</t>
  </si>
  <si>
    <t>露点</t>
  </si>
  <si>
    <t>Td</t>
  </si>
  <si>
    <t>℃</t>
  </si>
  <si>
    <t>気温</t>
  </si>
  <si>
    <t>T</t>
  </si>
  <si>
    <t>湿数</t>
  </si>
  <si>
    <t>T-Td</t>
  </si>
  <si>
    <t>℃</t>
  </si>
  <si>
    <t>相対湿度</t>
  </si>
  <si>
    <t>r</t>
  </si>
  <si>
    <t>％</t>
  </si>
  <si>
    <t>温位</t>
  </si>
  <si>
    <t>PT</t>
  </si>
  <si>
    <t>Ｋ</t>
  </si>
  <si>
    <t>持ち上げ凝結高度</t>
  </si>
  <si>
    <t>LCL</t>
  </si>
  <si>
    <t>m</t>
  </si>
  <si>
    <t>持ち上げ凝結高度の気圧</t>
  </si>
  <si>
    <t>LCLp</t>
  </si>
  <si>
    <t>hPa</t>
  </si>
  <si>
    <t>持ち上げ凝結高度の温度</t>
  </si>
  <si>
    <t>LCLt</t>
  </si>
  <si>
    <t>℃</t>
  </si>
  <si>
    <t>持ち上げ凝結高度の水蒸気圧</t>
  </si>
  <si>
    <t>LCLe</t>
  </si>
  <si>
    <t>定数</t>
  </si>
  <si>
    <t>持ち上げ凝結高度の混合比</t>
  </si>
  <si>
    <t>LCLq</t>
  </si>
  <si>
    <t>g/kg</t>
  </si>
  <si>
    <t>水蒸気潜熱</t>
  </si>
  <si>
    <t>L</t>
  </si>
  <si>
    <t>J/kg</t>
  </si>
  <si>
    <t>飽和水蒸気圧</t>
  </si>
  <si>
    <t>es</t>
  </si>
  <si>
    <t>hPa</t>
  </si>
  <si>
    <t>空気の気体定数</t>
  </si>
  <si>
    <t>R</t>
  </si>
  <si>
    <t>J/(kg K)</t>
  </si>
  <si>
    <t>水蒸気圧</t>
  </si>
  <si>
    <t>e</t>
  </si>
  <si>
    <t>hPa</t>
  </si>
  <si>
    <t>空気の定圧比熱</t>
  </si>
  <si>
    <t>Cp</t>
  </si>
  <si>
    <t>J/(kg K)</t>
  </si>
  <si>
    <t>混合比</t>
  </si>
  <si>
    <t>q</t>
  </si>
  <si>
    <t>g/kg</t>
  </si>
  <si>
    <t>水蒸気気体定数</t>
  </si>
  <si>
    <t>Rv</t>
  </si>
  <si>
    <t>J/(kg K)</t>
  </si>
  <si>
    <t>相当温位</t>
  </si>
  <si>
    <t>EPT</t>
  </si>
  <si>
    <t>K</t>
  </si>
  <si>
    <t>関数</t>
  </si>
  <si>
    <t>計算式</t>
  </si>
  <si>
    <t>500hPaの気温</t>
  </si>
  <si>
    <t>850hPaの気温</t>
  </si>
  <si>
    <t>850hPaの湿度</t>
  </si>
  <si>
    <t>T500</t>
  </si>
  <si>
    <t>T850</t>
  </si>
  <si>
    <t>ＳＳＩ計算用　入力データ</t>
  </si>
  <si>
    <t>ＳＳＩ</t>
  </si>
  <si>
    <t>SSI5085</t>
  </si>
  <si>
    <t>700hPaの気温</t>
  </si>
  <si>
    <t>925hPaの気温</t>
  </si>
  <si>
    <t>925hPaの湿度</t>
  </si>
  <si>
    <t>T700</t>
  </si>
  <si>
    <t>T925</t>
  </si>
  <si>
    <t>SSI7092</t>
  </si>
  <si>
    <t>凝結量</t>
  </si>
  <si>
    <t>℃</t>
  </si>
  <si>
    <t>hPa</t>
  </si>
  <si>
    <t>鉛直Ｐ速度</t>
  </si>
  <si>
    <t>飽和混合比</t>
  </si>
  <si>
    <t>g/kg</t>
  </si>
  <si>
    <t>qs</t>
  </si>
  <si>
    <t>dqs/dt</t>
  </si>
  <si>
    <t>不快指数</t>
  </si>
  <si>
    <t>不快指数＝0.81×気温（℃）＋0.01×湿度（％）×（0.99×気温（℃）－14.3）＋46.3</t>
  </si>
  <si>
    <t>　　　I &lt; 70　の場合、快適</t>
  </si>
  <si>
    <t>　　　　　　　　70 &lt;= I &lt; 75 の場合、一部不快</t>
  </si>
  <si>
    <t xml:space="preserve">                75 &lt;= I &lt; 80 の場合、半数不快</t>
  </si>
  <si>
    <t xml:space="preserve">                80 &lt;= I &lt; 85 の場合、全員不快</t>
  </si>
  <si>
    <t xml:space="preserve">                      I &gt;= 85の場合、耐えられない</t>
  </si>
  <si>
    <t>Fukai</t>
  </si>
  <si>
    <t>海面更正</t>
  </si>
  <si>
    <t>現地気圧</t>
  </si>
  <si>
    <t>P0</t>
  </si>
  <si>
    <t>標高</t>
  </si>
  <si>
    <t>h</t>
  </si>
  <si>
    <t>T</t>
  </si>
  <si>
    <t>m</t>
  </si>
  <si>
    <t>仮温度</t>
  </si>
  <si>
    <t>Tv</t>
  </si>
  <si>
    <t>K</t>
  </si>
  <si>
    <t>空気層の平均気温</t>
  </si>
  <si>
    <t>K</t>
  </si>
  <si>
    <t>海面更正気圧</t>
  </si>
  <si>
    <t>hPa</t>
  </si>
  <si>
    <t>空気密度</t>
  </si>
  <si>
    <t>空気密度（海面更正）</t>
  </si>
  <si>
    <t>宇都宮</t>
  </si>
  <si>
    <t>海面</t>
  </si>
  <si>
    <t>降雪</t>
  </si>
  <si>
    <t>積雪</t>
  </si>
  <si>
    <t>（気温</t>
  </si>
  <si>
    <t>変化量</t>
  </si>
  <si>
    <t>現地</t>
  </si>
  <si>
    <t>更正</t>
  </si>
  <si>
    <t>湿</t>
  </si>
  <si>
    <t>風向</t>
  </si>
  <si>
    <t>風速</t>
  </si>
  <si>
    <t>降水</t>
  </si>
  <si>
    <t>日照</t>
  </si>
  <si>
    <t>湿</t>
  </si>
  <si>
    <t>＋露点）</t>
  </si>
  <si>
    <t>相当</t>
  </si>
  <si>
    <t>混合</t>
  </si>
  <si>
    <t>度</t>
  </si>
  <si>
    <t>量</t>
  </si>
  <si>
    <t>時間</t>
  </si>
  <si>
    <t>深さ</t>
  </si>
  <si>
    <t>数</t>
  </si>
  <si>
    <t>／２</t>
  </si>
  <si>
    <t>比</t>
  </si>
  <si>
    <t>3h</t>
  </si>
  <si>
    <t>1h</t>
  </si>
  <si>
    <t>南</t>
  </si>
  <si>
    <t>--</t>
  </si>
  <si>
    <t>南南西</t>
  </si>
  <si>
    <t>南西</t>
  </si>
  <si>
    <t>北北西</t>
  </si>
  <si>
    <t>南南東</t>
  </si>
  <si>
    <t>北北東</t>
  </si>
  <si>
    <t>北</t>
  </si>
  <si>
    <t>西</t>
  </si>
  <si>
    <t>北西</t>
  </si>
  <si>
    <t>西南西</t>
  </si>
  <si>
    <t>西北西</t>
  </si>
  <si>
    <t>全天</t>
  </si>
  <si>
    <t>日射量</t>
  </si>
  <si>
    <t>２００６年</t>
  </si>
  <si>
    <t>北東</t>
  </si>
  <si>
    <t>の</t>
  </si>
  <si>
    <t>９月</t>
  </si>
  <si>
    <t>の</t>
  </si>
  <si>
    <t>の</t>
  </si>
  <si>
    <t>の</t>
  </si>
  <si>
    <t>熊谷</t>
  </si>
  <si>
    <t>東京</t>
  </si>
  <si>
    <t>横浜</t>
  </si>
  <si>
    <t>千葉</t>
  </si>
  <si>
    <t>２００６年９月27日</t>
  </si>
  <si>
    <t>の</t>
  </si>
  <si>
    <t>勝浦</t>
  </si>
  <si>
    <t>の</t>
  </si>
  <si>
    <t>銚子</t>
  </si>
  <si>
    <t>東北東</t>
  </si>
  <si>
    <t>東南東</t>
  </si>
  <si>
    <t>東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</si>
</sst>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0"/>
    <numFmt numFmtId="179" formatCode="0.0_ "/>
    <numFmt numFmtId="180" formatCode="0.00000"/>
    <numFmt numFmtId="181" formatCode="0.0000"/>
    <numFmt numFmtId="182" formatCode="0.0"/>
    <numFmt numFmtId="183" formatCode="0.000_);[Red]\(0.000\)"/>
    <numFmt numFmtId="184" formatCode="0.00000000000_);[Red]\(0.000000000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179" fontId="0" fillId="2" borderId="1" xfId="0" applyNumberFormat="1" applyFont="1" applyFill="1" applyBorder="1" applyAlignment="1">
      <alignment shrinkToFit="1"/>
    </xf>
    <xf numFmtId="177" fontId="0" fillId="2" borderId="1" xfId="0" applyNumberFormat="1" applyFill="1" applyBorder="1" applyAlignment="1">
      <alignment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7" fontId="0" fillId="0" borderId="6" xfId="0" applyNumberFormat="1" applyFont="1" applyFill="1" applyBorder="1" applyAlignment="1">
      <alignment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Font="1" applyFill="1" applyBorder="1" applyAlignment="1">
      <alignment shrinkToFit="1"/>
    </xf>
    <xf numFmtId="178" fontId="0" fillId="0" borderId="1" xfId="0" applyNumberFormat="1" applyBorder="1" applyAlignment="1">
      <alignment/>
    </xf>
    <xf numFmtId="177" fontId="0" fillId="0" borderId="1" xfId="0" applyNumberFormat="1" applyFont="1" applyFill="1" applyBorder="1" applyAlignment="1">
      <alignment shrinkToFit="1"/>
    </xf>
    <xf numFmtId="176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78" fontId="0" fillId="3" borderId="1" xfId="0" applyNumberFormat="1" applyFill="1" applyBorder="1" applyAlignment="1">
      <alignment/>
    </xf>
    <xf numFmtId="182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77" fontId="0" fillId="0" borderId="0" xfId="0" applyNumberFormat="1" applyFont="1" applyFill="1" applyBorder="1" applyAlignment="1">
      <alignment shrinkToFit="1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quotePrefix="1">
      <alignment/>
    </xf>
    <xf numFmtId="182" fontId="0" fillId="3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1" xfId="0" applyNumberFormat="1" applyFont="1" applyFill="1" applyBorder="1" applyAlignment="1">
      <alignment shrinkToFit="1"/>
    </xf>
    <xf numFmtId="0" fontId="0" fillId="2" borderId="1" xfId="0" applyNumberFormat="1" applyFill="1" applyBorder="1" applyAlignment="1">
      <alignment shrinkToFit="1"/>
    </xf>
    <xf numFmtId="0" fontId="0" fillId="0" borderId="11" xfId="0" applyFill="1" applyBorder="1" applyAlignment="1">
      <alignment/>
    </xf>
    <xf numFmtId="179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56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79" fontId="0" fillId="0" borderId="1" xfId="0" applyNumberFormat="1" applyFont="1" applyFill="1" applyBorder="1" applyAlignment="1">
      <alignment shrinkToFit="1"/>
    </xf>
    <xf numFmtId="185" fontId="0" fillId="0" borderId="1" xfId="0" applyNumberFormat="1" applyFont="1" applyFill="1" applyBorder="1" applyAlignment="1">
      <alignment shrinkToFit="1"/>
    </xf>
    <xf numFmtId="179" fontId="0" fillId="0" borderId="1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56" fontId="3" fillId="0" borderId="0" xfId="0" applyNumberFormat="1" applyFont="1" applyAlignment="1">
      <alignment/>
    </xf>
    <xf numFmtId="56" fontId="3" fillId="0" borderId="0" xfId="0" applyNumberFormat="1" applyFont="1" applyAlignment="1" quotePrefix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75"/>
          <c:w val="0.89575"/>
          <c:h val="0.8622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'熊谷'!$B$6:$B$29</c:f>
              <c:numCache/>
            </c:numRef>
          </c:cat>
          <c:val>
            <c:numRef>
              <c:f>'熊谷'!$D$6:$D$29</c:f>
              <c:numCache/>
            </c:numRef>
          </c:val>
          <c:smooth val="0"/>
        </c:ser>
        <c:marker val="1"/>
        <c:axId val="837934"/>
        <c:axId val="7541407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'熊谷'!$T$6:$T$29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'熊谷'!$S$6:$S$29</c:f>
              <c:numCache/>
            </c:numRef>
          </c:val>
          <c:smooth val="0"/>
        </c:ser>
        <c:marker val="1"/>
        <c:axId val="763800"/>
        <c:axId val="6874201"/>
      </c:lineChart>
      <c:catAx>
        <c:axId val="837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41407"/>
        <c:crosses val="autoZero"/>
        <c:auto val="0"/>
        <c:lblOffset val="100"/>
        <c:tickLblSkip val="2"/>
        <c:noMultiLvlLbl val="0"/>
      </c:catAx>
      <c:valAx>
        <c:axId val="75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7934"/>
        <c:crossesAt val="1"/>
        <c:crossBetween val="between"/>
        <c:dispUnits/>
      </c:valAx>
      <c:catAx>
        <c:axId val="763800"/>
        <c:scaling>
          <c:orientation val="minMax"/>
        </c:scaling>
        <c:axPos val="b"/>
        <c:delete val="1"/>
        <c:majorTickMark val="in"/>
        <c:minorTickMark val="none"/>
        <c:tickLblPos val="nextTo"/>
        <c:crossAx val="6874201"/>
        <c:crosses val="autoZero"/>
        <c:auto val="0"/>
        <c:lblOffset val="100"/>
        <c:noMultiLvlLbl val="0"/>
      </c:catAx>
      <c:valAx>
        <c:axId val="687420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7638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'横浜'!$I$6:$I$29</c:f>
              <c:numCache/>
            </c:numRef>
          </c:val>
        </c:ser>
        <c:gapWidth val="50"/>
        <c:axId val="14678210"/>
        <c:axId val="64995027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'横浜'!$B$6:$B$29</c:f>
              <c:numCache/>
            </c:numRef>
          </c:cat>
          <c:val>
            <c:numRef>
              <c:f>'横浜'!$E$6:$E$29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'横浜'!$N$6:$N$29</c:f>
              <c:numCache/>
            </c:numRef>
          </c:val>
          <c:smooth val="0"/>
        </c:ser>
        <c:marker val="1"/>
        <c:axId val="48084332"/>
        <c:axId val="30105805"/>
      </c:line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05805"/>
        <c:crosses val="autoZero"/>
        <c:auto val="0"/>
        <c:lblOffset val="100"/>
        <c:tickLblSkip val="2"/>
        <c:noMultiLvlLbl val="0"/>
      </c:catAx>
      <c:valAx>
        <c:axId val="30105805"/>
        <c:scaling>
          <c:orientation val="minMax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84332"/>
        <c:crossesAt val="1"/>
        <c:crossBetween val="between"/>
        <c:dispUnits/>
      </c:valAx>
      <c:catAx>
        <c:axId val="14678210"/>
        <c:scaling>
          <c:orientation val="minMax"/>
        </c:scaling>
        <c:axPos val="b"/>
        <c:delete val="1"/>
        <c:majorTickMark val="in"/>
        <c:minorTickMark val="none"/>
        <c:tickLblPos val="nextTo"/>
        <c:crossAx val="64995027"/>
        <c:crosses val="autoZero"/>
        <c:auto val="0"/>
        <c:lblOffset val="100"/>
        <c:noMultiLvlLbl val="0"/>
      </c:catAx>
      <c:valAx>
        <c:axId val="6499502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78210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'横浜'!$B$6:$B$29</c:f>
              <c:numCache/>
            </c:numRef>
          </c:cat>
          <c:val>
            <c:numRef>
              <c:f>'横浜'!$Q$6:$Q$29</c:f>
              <c:numCache>
                <c:ptCount val="24"/>
                <c:pt idx="0">
                  <c:v>317.4015448604125</c:v>
                </c:pt>
                <c:pt idx="1">
                  <c:v>318.35708552784814</c:v>
                </c:pt>
                <c:pt idx="2">
                  <c:v>319.59208074357525</c:v>
                </c:pt>
                <c:pt idx="3">
                  <c:v>320.2572422217233</c:v>
                </c:pt>
                <c:pt idx="4">
                  <c:v>320.5514865474716</c:v>
                </c:pt>
                <c:pt idx="5">
                  <c:v>321.73605529512747</c:v>
                </c:pt>
                <c:pt idx="6">
                  <c:v>323.4974254254714</c:v>
                </c:pt>
                <c:pt idx="7">
                  <c:v>324.7862103795795</c:v>
                </c:pt>
                <c:pt idx="8">
                  <c:v>325.82565918052046</c:v>
                </c:pt>
                <c:pt idx="9">
                  <c:v>326.51292930899393</c:v>
                </c:pt>
                <c:pt idx="10">
                  <c:v>326.66829308324714</c:v>
                </c:pt>
                <c:pt idx="11">
                  <c:v>326.23288244808793</c:v>
                </c:pt>
                <c:pt idx="12">
                  <c:v>329.4808804432899</c:v>
                </c:pt>
                <c:pt idx="13">
                  <c:v>329.66941717504136</c:v>
                </c:pt>
                <c:pt idx="14">
                  <c:v>330.8765847346078</c:v>
                </c:pt>
                <c:pt idx="15">
                  <c:v>332.4803774514585</c:v>
                </c:pt>
                <c:pt idx="16">
                  <c:v>332.2683209297545</c:v>
                </c:pt>
                <c:pt idx="17">
                  <c:v>330.6217676853833</c:v>
                </c:pt>
                <c:pt idx="18">
                  <c:v>330.6088994950054</c:v>
                </c:pt>
                <c:pt idx="19">
                  <c:v>329.8342493910346</c:v>
                </c:pt>
                <c:pt idx="20">
                  <c:v>329.5745489638251</c:v>
                </c:pt>
                <c:pt idx="21">
                  <c:v>329.27340904952524</c:v>
                </c:pt>
                <c:pt idx="22">
                  <c:v>328.19772392852485</c:v>
                </c:pt>
                <c:pt idx="23">
                  <c:v>328.9272191853758</c:v>
                </c:pt>
              </c:numCache>
            </c:numRef>
          </c:val>
          <c:smooth val="0"/>
        </c:ser>
        <c:marker val="1"/>
        <c:axId val="2516790"/>
        <c:axId val="22651111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'横浜'!$W$6:$W$29</c:f>
              <c:numCache>
                <c:ptCount val="24"/>
                <c:pt idx="1">
                  <c:v>0.9555406674356277</c:v>
                </c:pt>
                <c:pt idx="2">
                  <c:v>1.2349952157271105</c:v>
                </c:pt>
                <c:pt idx="3">
                  <c:v>0.6651614781480362</c:v>
                </c:pt>
                <c:pt idx="4">
                  <c:v>0.29424432574830917</c:v>
                </c:pt>
                <c:pt idx="5">
                  <c:v>1.1845687476558737</c:v>
                </c:pt>
                <c:pt idx="6">
                  <c:v>1.7613701303439484</c:v>
                </c:pt>
                <c:pt idx="7">
                  <c:v>1.2887849541080527</c:v>
                </c:pt>
                <c:pt idx="8">
                  <c:v>1.0394488009409883</c:v>
                </c:pt>
                <c:pt idx="9">
                  <c:v>0.6872701284734717</c:v>
                </c:pt>
                <c:pt idx="10">
                  <c:v>0.15536377425320325</c:v>
                </c:pt>
                <c:pt idx="11">
                  <c:v>-0.43541063515920087</c:v>
                </c:pt>
                <c:pt idx="12">
                  <c:v>3.247997995201956</c:v>
                </c:pt>
                <c:pt idx="13">
                  <c:v>0.18853673175146923</c:v>
                </c:pt>
                <c:pt idx="14">
                  <c:v>1.2071675595664146</c:v>
                </c:pt>
                <c:pt idx="15">
                  <c:v>1.6037927168507053</c:v>
                </c:pt>
                <c:pt idx="16">
                  <c:v>-0.21205652170397116</c:v>
                </c:pt>
                <c:pt idx="17">
                  <c:v>-1.646553244371205</c:v>
                </c:pt>
                <c:pt idx="18">
                  <c:v>-0.012868190377901101</c:v>
                </c:pt>
                <c:pt idx="19">
                  <c:v>-0.7746501039708278</c:v>
                </c:pt>
                <c:pt idx="20">
                  <c:v>-0.2597004272094523</c:v>
                </c:pt>
                <c:pt idx="21">
                  <c:v>-0.3011399142998812</c:v>
                </c:pt>
                <c:pt idx="22">
                  <c:v>-1.0756851210003902</c:v>
                </c:pt>
                <c:pt idx="23">
                  <c:v>0.729495256850953</c:v>
                </c:pt>
              </c:numCache>
            </c:numRef>
          </c:val>
          <c:smooth val="0"/>
        </c:ser>
        <c:marker val="1"/>
        <c:axId val="2533408"/>
        <c:axId val="22800673"/>
      </c:lineChart>
      <c:catAx>
        <c:axId val="2516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651111"/>
        <c:crosses val="autoZero"/>
        <c:auto val="0"/>
        <c:lblOffset val="100"/>
        <c:tickLblSkip val="2"/>
        <c:noMultiLvlLbl val="0"/>
      </c:cat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516790"/>
        <c:crossesAt val="1"/>
        <c:crossBetween val="between"/>
        <c:dispUnits/>
      </c:valAx>
      <c:catAx>
        <c:axId val="2533408"/>
        <c:scaling>
          <c:orientation val="minMax"/>
        </c:scaling>
        <c:axPos val="b"/>
        <c:delete val="1"/>
        <c:majorTickMark val="in"/>
        <c:minorTickMark val="none"/>
        <c:tickLblPos val="nextTo"/>
        <c:crossAx val="22800673"/>
        <c:crosses val="autoZero"/>
        <c:auto val="0"/>
        <c:lblOffset val="100"/>
        <c:noMultiLvlLbl val="0"/>
      </c:catAx>
      <c:valAx>
        <c:axId val="2280067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5334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'横浜'!$B$6:$B$29</c:f>
              <c:numCache/>
            </c:numRef>
          </c:cat>
          <c:val>
            <c:numRef>
              <c:f>'横浜'!$X$6:$X$29</c:f>
              <c:numCache>
                <c:ptCount val="24"/>
                <c:pt idx="0">
                  <c:v>337.5</c:v>
                </c:pt>
                <c:pt idx="1">
                  <c:v>337.5</c:v>
                </c:pt>
                <c:pt idx="2">
                  <c:v>0</c:v>
                </c:pt>
                <c:pt idx="3">
                  <c:v>0</c:v>
                </c:pt>
                <c:pt idx="4">
                  <c:v>337.5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157.5</c:v>
                </c:pt>
                <c:pt idx="18">
                  <c:v>157.5</c:v>
                </c:pt>
                <c:pt idx="19">
                  <c:v>157.5</c:v>
                </c:pt>
                <c:pt idx="20">
                  <c:v>157.5</c:v>
                </c:pt>
                <c:pt idx="21">
                  <c:v>157.5</c:v>
                </c:pt>
                <c:pt idx="22">
                  <c:v>247.5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879466"/>
        <c:axId val="34915195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'横浜'!$H$6:$H$29</c:f>
              <c:numCache/>
            </c:numRef>
          </c:val>
          <c:smooth val="0"/>
        </c:ser>
        <c:marker val="1"/>
        <c:axId val="45801300"/>
        <c:axId val="9558517"/>
      </c:lineChart>
      <c:catAx>
        <c:axId val="387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15195"/>
        <c:crosses val="autoZero"/>
        <c:auto val="0"/>
        <c:lblOffset val="100"/>
        <c:tickLblSkip val="2"/>
        <c:noMultiLvlLbl val="0"/>
      </c:catAx>
      <c:valAx>
        <c:axId val="34915195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879466"/>
        <c:crossesAt val="1"/>
        <c:crossBetween val="between"/>
        <c:dispUnits/>
        <c:majorUnit val="45"/>
      </c:valAx>
      <c:catAx>
        <c:axId val="45801300"/>
        <c:scaling>
          <c:orientation val="minMax"/>
        </c:scaling>
        <c:axPos val="b"/>
        <c:delete val="1"/>
        <c:majorTickMark val="in"/>
        <c:minorTickMark val="none"/>
        <c:tickLblPos val="nextTo"/>
        <c:crossAx val="9558517"/>
        <c:crosses val="autoZero"/>
        <c:auto val="0"/>
        <c:lblOffset val="100"/>
        <c:noMultiLvlLbl val="0"/>
      </c:catAx>
      <c:valAx>
        <c:axId val="955851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5801300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525"/>
          <c:w val="0.89575"/>
          <c:h val="0.8267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'千葉'!$B$6:$B$29</c:f>
              <c:numCache/>
            </c:numRef>
          </c:cat>
          <c:val>
            <c:numRef>
              <c:f>'千葉'!$D$6:$D$29</c:f>
              <c:numCache/>
            </c:numRef>
          </c:val>
          <c:smooth val="0"/>
        </c:ser>
        <c:marker val="1"/>
        <c:axId val="18917790"/>
        <c:axId val="36042383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'千葉'!$T$6:$T$29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'千葉'!$S$6:$S$29</c:f>
              <c:numCache/>
            </c:numRef>
          </c:val>
          <c:smooth val="0"/>
        </c:ser>
        <c:marker val="1"/>
        <c:axId val="55945992"/>
        <c:axId val="33751881"/>
      </c:line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42383"/>
        <c:crosses val="autoZero"/>
        <c:auto val="0"/>
        <c:lblOffset val="100"/>
        <c:tickLblSkip val="2"/>
        <c:noMultiLvlLbl val="0"/>
      </c:catAx>
      <c:valAx>
        <c:axId val="36042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17790"/>
        <c:crossesAt val="1"/>
        <c:crossBetween val="between"/>
        <c:dispUnits/>
      </c:valAx>
      <c:catAx>
        <c:axId val="55945992"/>
        <c:scaling>
          <c:orientation val="minMax"/>
        </c:scaling>
        <c:axPos val="b"/>
        <c:delete val="1"/>
        <c:majorTickMark val="in"/>
        <c:minorTickMark val="none"/>
        <c:tickLblPos val="nextTo"/>
        <c:crossAx val="33751881"/>
        <c:crosses val="autoZero"/>
        <c:auto val="0"/>
        <c:lblOffset val="100"/>
        <c:noMultiLvlLbl val="0"/>
      </c:catAx>
      <c:valAx>
        <c:axId val="3375188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59459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'千葉'!$I$6:$I$29</c:f>
              <c:numCache/>
            </c:numRef>
          </c:val>
        </c:ser>
        <c:gapWidth val="50"/>
        <c:axId val="35331474"/>
        <c:axId val="49547811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'千葉'!$B$6:$B$29</c:f>
              <c:numCache/>
            </c:numRef>
          </c:cat>
          <c:val>
            <c:numRef>
              <c:f>'千葉'!$E$6:$E$29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'千葉'!$N$6:$N$29</c:f>
              <c:numCache/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49725"/>
        <c:crosses val="autoZero"/>
        <c:auto val="0"/>
        <c:lblOffset val="100"/>
        <c:tickLblSkip val="2"/>
        <c:noMultiLvlLbl val="0"/>
      </c:catAx>
      <c:valAx>
        <c:axId val="53949725"/>
        <c:scaling>
          <c:orientation val="minMax"/>
          <c:max val="2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77116"/>
        <c:crossesAt val="1"/>
        <c:crossBetween val="between"/>
        <c:dispUnits/>
      </c:valAx>
      <c:catAx>
        <c:axId val="35331474"/>
        <c:scaling>
          <c:orientation val="minMax"/>
        </c:scaling>
        <c:axPos val="b"/>
        <c:delete val="1"/>
        <c:majorTickMark val="in"/>
        <c:minorTickMark val="none"/>
        <c:tickLblPos val="nextTo"/>
        <c:crossAx val="49547811"/>
        <c:crosses val="autoZero"/>
        <c:auto val="0"/>
        <c:lblOffset val="100"/>
        <c:noMultiLvlLbl val="0"/>
      </c:catAx>
      <c:valAx>
        <c:axId val="4954781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33147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'千葉'!$B$6:$B$29</c:f>
              <c:numCache/>
            </c:numRef>
          </c:cat>
          <c:val>
            <c:numRef>
              <c:f>'千葉'!$Q$6:$Q$29</c:f>
              <c:numCache>
                <c:ptCount val="24"/>
                <c:pt idx="0">
                  <c:v>319.6448873350064</c:v>
                </c:pt>
                <c:pt idx="1">
                  <c:v>319.1197413602673</c:v>
                </c:pt>
                <c:pt idx="2">
                  <c:v>319.9950814360079</c:v>
                </c:pt>
                <c:pt idx="3">
                  <c:v>320.96026209081515</c:v>
                </c:pt>
                <c:pt idx="4">
                  <c:v>321.6465225715672</c:v>
                </c:pt>
                <c:pt idx="5">
                  <c:v>321.86733144662827</c:v>
                </c:pt>
                <c:pt idx="6">
                  <c:v>323.107872725379</c:v>
                </c:pt>
                <c:pt idx="7">
                  <c:v>325.09025408953045</c:v>
                </c:pt>
                <c:pt idx="8">
                  <c:v>329.7891783529951</c:v>
                </c:pt>
                <c:pt idx="9">
                  <c:v>331.1649145750544</c:v>
                </c:pt>
                <c:pt idx="10">
                  <c:v>332.83392688019666</c:v>
                </c:pt>
                <c:pt idx="11">
                  <c:v>333.37126649161576</c:v>
                </c:pt>
                <c:pt idx="12">
                  <c:v>332.0157836105425</c:v>
                </c:pt>
                <c:pt idx="13">
                  <c:v>332.77628081680683</c:v>
                </c:pt>
                <c:pt idx="14">
                  <c:v>334.88967005051495</c:v>
                </c:pt>
                <c:pt idx="15">
                  <c:v>334.6745502570379</c:v>
                </c:pt>
                <c:pt idx="16">
                  <c:v>333.8014173553766</c:v>
                </c:pt>
                <c:pt idx="17">
                  <c:v>332.94659901185366</c:v>
                </c:pt>
                <c:pt idx="18">
                  <c:v>332.46346083330667</c:v>
                </c:pt>
                <c:pt idx="19">
                  <c:v>333.09006514254645</c:v>
                </c:pt>
                <c:pt idx="20">
                  <c:v>331.57246641142336</c:v>
                </c:pt>
                <c:pt idx="21">
                  <c:v>331.797017452805</c:v>
                </c:pt>
                <c:pt idx="22">
                  <c:v>331.4193318439944</c:v>
                </c:pt>
                <c:pt idx="23">
                  <c:v>329.46935349280824</c:v>
                </c:pt>
              </c:numCache>
            </c:numRef>
          </c:val>
          <c:smooth val="0"/>
        </c:ser>
        <c:marker val="1"/>
        <c:axId val="15785478"/>
        <c:axId val="7851575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'千葉'!$W$6:$W$29</c:f>
              <c:numCache>
                <c:ptCount val="24"/>
                <c:pt idx="1">
                  <c:v>-0.5251459747390754</c:v>
                </c:pt>
                <c:pt idx="2">
                  <c:v>0.8753400757406098</c:v>
                </c:pt>
                <c:pt idx="3">
                  <c:v>0.9651806548072273</c:v>
                </c:pt>
                <c:pt idx="4">
                  <c:v>0.6862604807520256</c:v>
                </c:pt>
                <c:pt idx="5">
                  <c:v>0.22080887506109548</c:v>
                </c:pt>
                <c:pt idx="6">
                  <c:v>1.2405412787507544</c:v>
                </c:pt>
                <c:pt idx="7">
                  <c:v>1.982381364151422</c:v>
                </c:pt>
                <c:pt idx="8">
                  <c:v>4.698924263464676</c:v>
                </c:pt>
                <c:pt idx="9">
                  <c:v>1.3757362220592881</c:v>
                </c:pt>
                <c:pt idx="10">
                  <c:v>1.669012305142246</c:v>
                </c:pt>
                <c:pt idx="11">
                  <c:v>0.5373396114190996</c:v>
                </c:pt>
                <c:pt idx="12">
                  <c:v>-1.3554828810732715</c:v>
                </c:pt>
                <c:pt idx="13">
                  <c:v>0.7604972062643469</c:v>
                </c:pt>
                <c:pt idx="14">
                  <c:v>2.1133892337081193</c:v>
                </c:pt>
                <c:pt idx="15">
                  <c:v>-0.2151197934770721</c:v>
                </c:pt>
                <c:pt idx="16">
                  <c:v>-0.873132901661279</c:v>
                </c:pt>
                <c:pt idx="17">
                  <c:v>-0.8548183435229362</c:v>
                </c:pt>
                <c:pt idx="18">
                  <c:v>-0.48313817854699437</c:v>
                </c:pt>
                <c:pt idx="19">
                  <c:v>0.6266043092397808</c:v>
                </c:pt>
                <c:pt idx="20">
                  <c:v>-1.517598731123087</c:v>
                </c:pt>
                <c:pt idx="21">
                  <c:v>0.2245510413816305</c:v>
                </c:pt>
                <c:pt idx="22">
                  <c:v>-0.377685608810566</c:v>
                </c:pt>
                <c:pt idx="23">
                  <c:v>-1.9499783511861892</c:v>
                </c:pt>
              </c:numCache>
            </c:numRef>
          </c:val>
          <c:smooth val="0"/>
        </c:ser>
        <c:marker val="1"/>
        <c:axId val="3555312"/>
        <c:axId val="31997809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51575"/>
        <c:crosses val="autoZero"/>
        <c:auto val="0"/>
        <c:lblOffset val="100"/>
        <c:tickLblSkip val="2"/>
        <c:noMultiLvlLbl val="0"/>
      </c:cat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5785478"/>
        <c:crossesAt val="1"/>
        <c:crossBetween val="between"/>
        <c:dispUnits/>
      </c:valAx>
      <c:catAx>
        <c:axId val="3555312"/>
        <c:scaling>
          <c:orientation val="minMax"/>
        </c:scaling>
        <c:axPos val="b"/>
        <c:delete val="1"/>
        <c:majorTickMark val="in"/>
        <c:minorTickMark val="none"/>
        <c:tickLblPos val="nextTo"/>
        <c:crossAx val="31997809"/>
        <c:crosses val="autoZero"/>
        <c:auto val="0"/>
        <c:lblOffset val="100"/>
        <c:noMultiLvlLbl val="0"/>
      </c:catAx>
      <c:valAx>
        <c:axId val="31997809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5553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'千葉'!$B$6:$B$29</c:f>
              <c:numCache/>
            </c:numRef>
          </c:cat>
          <c:val>
            <c:numRef>
              <c:f>'千葉'!$X$6:$X$29</c:f>
              <c:numCache>
                <c:ptCount val="24"/>
                <c:pt idx="0">
                  <c:v>337.5</c:v>
                </c:pt>
                <c:pt idx="1">
                  <c:v>337.5</c:v>
                </c:pt>
                <c:pt idx="2">
                  <c:v>315</c:v>
                </c:pt>
                <c:pt idx="3">
                  <c:v>337.5</c:v>
                </c:pt>
                <c:pt idx="4">
                  <c:v>337.5</c:v>
                </c:pt>
                <c:pt idx="5">
                  <c:v>337.5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22.5</c:v>
                </c:pt>
                <c:pt idx="10">
                  <c:v>0</c:v>
                </c:pt>
                <c:pt idx="11">
                  <c:v>0</c:v>
                </c:pt>
                <c:pt idx="12">
                  <c:v>22.5</c:v>
                </c:pt>
                <c:pt idx="13">
                  <c:v>0</c:v>
                </c:pt>
                <c:pt idx="14">
                  <c:v>337.5</c:v>
                </c:pt>
                <c:pt idx="15">
                  <c:v>337.5</c:v>
                </c:pt>
                <c:pt idx="16">
                  <c:v>292.5</c:v>
                </c:pt>
                <c:pt idx="17">
                  <c:v>292.5</c:v>
                </c:pt>
                <c:pt idx="18">
                  <c:v>247.5</c:v>
                </c:pt>
                <c:pt idx="19">
                  <c:v>247.5</c:v>
                </c:pt>
                <c:pt idx="20">
                  <c:v>180</c:v>
                </c:pt>
                <c:pt idx="21">
                  <c:v>202.5</c:v>
                </c:pt>
                <c:pt idx="22">
                  <c:v>180</c:v>
                </c:pt>
                <c:pt idx="23">
                  <c:v>247.5</c:v>
                </c:pt>
              </c:numCache>
            </c:numRef>
          </c:val>
          <c:smooth val="0"/>
        </c:ser>
        <c:marker val="1"/>
        <c:axId val="19544826"/>
        <c:axId val="41685707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'千葉'!$H$6:$H$29</c:f>
              <c:numCache/>
            </c:numRef>
          </c:val>
          <c:smooth val="0"/>
        </c:ser>
        <c:marker val="1"/>
        <c:axId val="39627044"/>
        <c:axId val="21099077"/>
      </c:line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85707"/>
        <c:crosses val="autoZero"/>
        <c:auto val="0"/>
        <c:lblOffset val="100"/>
        <c:tickLblSkip val="2"/>
        <c:noMultiLvlLbl val="0"/>
      </c:catAx>
      <c:valAx>
        <c:axId val="41685707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9544826"/>
        <c:crossesAt val="1"/>
        <c:crossBetween val="between"/>
        <c:dispUnits/>
        <c:majorUnit val="45"/>
      </c:valAx>
      <c:catAx>
        <c:axId val="39627044"/>
        <c:scaling>
          <c:orientation val="minMax"/>
        </c:scaling>
        <c:axPos val="b"/>
        <c:delete val="1"/>
        <c:majorTickMark val="in"/>
        <c:minorTickMark val="none"/>
        <c:tickLblPos val="nextTo"/>
        <c:crossAx val="21099077"/>
        <c:crosses val="autoZero"/>
        <c:auto val="0"/>
        <c:lblOffset val="100"/>
        <c:noMultiLvlLbl val="0"/>
      </c:catAx>
      <c:valAx>
        <c:axId val="2109907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962704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525"/>
          <c:w val="0.89575"/>
          <c:h val="0.8267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'勝浦'!$B$6:$B$29</c:f>
              <c:numCache/>
            </c:numRef>
          </c:cat>
          <c:val>
            <c:numRef>
              <c:f>'勝浦'!$D$6:$D$29</c:f>
              <c:numCache/>
            </c:numRef>
          </c:val>
          <c:smooth val="0"/>
        </c:ser>
        <c:marker val="1"/>
        <c:axId val="55673966"/>
        <c:axId val="31303647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'勝浦'!$T$6:$T$29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'勝浦'!$S$6:$S$29</c:f>
              <c:numCache/>
            </c:numRef>
          </c:val>
          <c:smooth val="0"/>
        </c:ser>
        <c:marker val="1"/>
        <c:axId val="13297368"/>
        <c:axId val="52567449"/>
      </c:line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03647"/>
        <c:crosses val="autoZero"/>
        <c:auto val="0"/>
        <c:lblOffset val="100"/>
        <c:tickLblSkip val="2"/>
        <c:noMultiLvlLbl val="0"/>
      </c:catAx>
      <c:valAx>
        <c:axId val="31303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73966"/>
        <c:crossesAt val="1"/>
        <c:crossBetween val="between"/>
        <c:dispUnits/>
      </c:valAx>
      <c:catAx>
        <c:axId val="13297368"/>
        <c:scaling>
          <c:orientation val="minMax"/>
        </c:scaling>
        <c:axPos val="b"/>
        <c:delete val="1"/>
        <c:majorTickMark val="in"/>
        <c:minorTickMark val="none"/>
        <c:tickLblPos val="nextTo"/>
        <c:crossAx val="52567449"/>
        <c:crosses val="autoZero"/>
        <c:auto val="0"/>
        <c:lblOffset val="100"/>
        <c:noMultiLvlLbl val="0"/>
      </c:catAx>
      <c:valAx>
        <c:axId val="5256744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32973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'勝浦'!$I$6:$I$29</c:f>
              <c:numCache/>
            </c:numRef>
          </c:val>
        </c:ser>
        <c:gapWidth val="50"/>
        <c:axId val="3344994"/>
        <c:axId val="30104947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'勝浦'!$B$6:$B$29</c:f>
              <c:numCache/>
            </c:numRef>
          </c:cat>
          <c:val>
            <c:numRef>
              <c:f>'勝浦'!$E$6:$E$29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'勝浦'!$N$6:$N$29</c:f>
              <c:numCache/>
            </c:numRef>
          </c:val>
          <c:smooth val="0"/>
        </c:ser>
        <c:marker val="1"/>
        <c:axId val="2509068"/>
        <c:axId val="22581613"/>
      </c:lineChart>
      <c:catAx>
        <c:axId val="2509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81613"/>
        <c:crosses val="autoZero"/>
        <c:auto val="0"/>
        <c:lblOffset val="100"/>
        <c:tickLblSkip val="2"/>
        <c:noMultiLvlLbl val="0"/>
      </c:catAx>
      <c:valAx>
        <c:axId val="22581613"/>
        <c:scaling>
          <c:orientation val="minMax"/>
          <c:max val="2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9068"/>
        <c:crossesAt val="1"/>
        <c:crossBetween val="between"/>
        <c:dispUnits/>
      </c:valAx>
      <c:catAx>
        <c:axId val="3344994"/>
        <c:scaling>
          <c:orientation val="minMax"/>
        </c:scaling>
        <c:axPos val="b"/>
        <c:delete val="1"/>
        <c:majorTickMark val="in"/>
        <c:minorTickMark val="none"/>
        <c:tickLblPos val="nextTo"/>
        <c:crossAx val="30104947"/>
        <c:crosses val="autoZero"/>
        <c:auto val="0"/>
        <c:lblOffset val="100"/>
        <c:noMultiLvlLbl val="0"/>
      </c:catAx>
      <c:valAx>
        <c:axId val="3010494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499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'勝浦'!$B$6:$B$29</c:f>
              <c:numCache/>
            </c:numRef>
          </c:cat>
          <c:val>
            <c:numRef>
              <c:f>'勝浦'!$Q$6:$Q$29</c:f>
              <c:numCache>
                <c:ptCount val="24"/>
                <c:pt idx="0">
                  <c:v>324.97063276809314</c:v>
                </c:pt>
                <c:pt idx="1">
                  <c:v>322.5228403883912</c:v>
                </c:pt>
                <c:pt idx="2">
                  <c:v>322.144363393646</c:v>
                </c:pt>
                <c:pt idx="3">
                  <c:v>321.94830721139056</c:v>
                </c:pt>
                <c:pt idx="4">
                  <c:v>321.97328723393645</c:v>
                </c:pt>
                <c:pt idx="5">
                  <c:v>322.55594505908687</c:v>
                </c:pt>
                <c:pt idx="6">
                  <c:v>323.4668085661298</c:v>
                </c:pt>
                <c:pt idx="7">
                  <c:v>330.24306068820266</c:v>
                </c:pt>
                <c:pt idx="8">
                  <c:v>330.8132134417404</c:v>
                </c:pt>
                <c:pt idx="9">
                  <c:v>331.1903920396984</c:v>
                </c:pt>
                <c:pt idx="10">
                  <c:v>333.3661562298016</c:v>
                </c:pt>
                <c:pt idx="11">
                  <c:v>332.1659387569257</c:v>
                </c:pt>
                <c:pt idx="12">
                  <c:v>333.56345350662605</c:v>
                </c:pt>
                <c:pt idx="13">
                  <c:v>333.8037673921173</c:v>
                </c:pt>
                <c:pt idx="14">
                  <c:v>334.50373785793687</c:v>
                </c:pt>
                <c:pt idx="15">
                  <c:v>335.6893766436591</c:v>
                </c:pt>
                <c:pt idx="16">
                  <c:v>333.5242876613514</c:v>
                </c:pt>
                <c:pt idx="17">
                  <c:v>330.6740803173191</c:v>
                </c:pt>
                <c:pt idx="18">
                  <c:v>329.5913451568123</c:v>
                </c:pt>
                <c:pt idx="19">
                  <c:v>328.888843593268</c:v>
                </c:pt>
                <c:pt idx="20">
                  <c:v>327.14182047799113</c:v>
                </c:pt>
                <c:pt idx="21">
                  <c:v>327.20870185551746</c:v>
                </c:pt>
                <c:pt idx="22">
                  <c:v>327.5635848581986</c:v>
                </c:pt>
                <c:pt idx="23">
                  <c:v>328.5534511905744</c:v>
                </c:pt>
              </c:numCache>
            </c:numRef>
          </c:val>
          <c:smooth val="0"/>
        </c:ser>
        <c:marker val="1"/>
        <c:axId val="1907926"/>
        <c:axId val="17171335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'勝浦'!$W$6:$W$29</c:f>
              <c:numCache>
                <c:ptCount val="24"/>
                <c:pt idx="1">
                  <c:v>-2.447792379701923</c:v>
                </c:pt>
                <c:pt idx="2">
                  <c:v>-0.37847699474519914</c:v>
                </c:pt>
                <c:pt idx="3">
                  <c:v>-0.19605618225546095</c:v>
                </c:pt>
                <c:pt idx="4">
                  <c:v>0.024980022545889824</c:v>
                </c:pt>
                <c:pt idx="5">
                  <c:v>0.5826578251504202</c:v>
                </c:pt>
                <c:pt idx="6">
                  <c:v>0.9108635070429614</c:v>
                </c:pt>
                <c:pt idx="7">
                  <c:v>6.776252122072833</c:v>
                </c:pt>
                <c:pt idx="8">
                  <c:v>0.5701527535377409</c:v>
                </c:pt>
                <c:pt idx="9">
                  <c:v>0.37717859795799313</c:v>
                </c:pt>
                <c:pt idx="10">
                  <c:v>2.175764190103223</c:v>
                </c:pt>
                <c:pt idx="11">
                  <c:v>-1.20021747287592</c:v>
                </c:pt>
                <c:pt idx="12">
                  <c:v>1.397514749700349</c:v>
                </c:pt>
                <c:pt idx="13">
                  <c:v>0.24031388549127541</c:v>
                </c:pt>
                <c:pt idx="14">
                  <c:v>0.6999704658195469</c:v>
                </c:pt>
                <c:pt idx="15">
                  <c:v>1.185638785722233</c:v>
                </c:pt>
                <c:pt idx="16">
                  <c:v>-2.1650889823076795</c:v>
                </c:pt>
                <c:pt idx="17">
                  <c:v>-2.850207344032299</c:v>
                </c:pt>
                <c:pt idx="18">
                  <c:v>-1.082735160506843</c:v>
                </c:pt>
                <c:pt idx="19">
                  <c:v>-0.7025015635442742</c:v>
                </c:pt>
                <c:pt idx="20">
                  <c:v>-1.7470231152768747</c:v>
                </c:pt>
                <c:pt idx="21">
                  <c:v>0.06688137752632883</c:v>
                </c:pt>
                <c:pt idx="22">
                  <c:v>0.3548830026811629</c:v>
                </c:pt>
                <c:pt idx="23">
                  <c:v>0.9898663323757546</c:v>
                </c:pt>
              </c:numCache>
            </c:numRef>
          </c:val>
          <c:smooth val="0"/>
        </c:ser>
        <c:marker val="1"/>
        <c:axId val="20324288"/>
        <c:axId val="48700865"/>
      </c:lineChart>
      <c:catAx>
        <c:axId val="1907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71335"/>
        <c:crosses val="autoZero"/>
        <c:auto val="0"/>
        <c:lblOffset val="100"/>
        <c:tickLblSkip val="2"/>
        <c:noMultiLvlLbl val="0"/>
      </c:catAx>
      <c:valAx>
        <c:axId val="17171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907926"/>
        <c:crossesAt val="1"/>
        <c:crossBetween val="between"/>
        <c:dispUnits/>
      </c:valAx>
      <c:catAx>
        <c:axId val="20324288"/>
        <c:scaling>
          <c:orientation val="minMax"/>
        </c:scaling>
        <c:axPos val="b"/>
        <c:delete val="1"/>
        <c:majorTickMark val="in"/>
        <c:minorTickMark val="none"/>
        <c:tickLblPos val="nextTo"/>
        <c:crossAx val="48700865"/>
        <c:crosses val="autoZero"/>
        <c:auto val="0"/>
        <c:lblOffset val="100"/>
        <c:noMultiLvlLbl val="0"/>
      </c:catAx>
      <c:valAx>
        <c:axId val="4870086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032428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'熊谷'!$I$6:$I$29</c:f>
              <c:numCache/>
            </c:numRef>
          </c:val>
        </c:ser>
        <c:gapWidth val="50"/>
        <c:axId val="61867810"/>
        <c:axId val="19939379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'熊谷'!$B$6:$B$29</c:f>
              <c:numCache/>
            </c:numRef>
          </c:cat>
          <c:val>
            <c:numRef>
              <c:f>'熊谷'!$E$6:$E$29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'熊谷'!$N$6:$N$29</c:f>
              <c:numCache/>
            </c:numRef>
          </c:val>
          <c:smooth val="0"/>
        </c:ser>
        <c:marker val="1"/>
        <c:axId val="45236684"/>
        <c:axId val="4476973"/>
      </c:line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6973"/>
        <c:crosses val="autoZero"/>
        <c:auto val="0"/>
        <c:lblOffset val="100"/>
        <c:tickLblSkip val="2"/>
        <c:noMultiLvlLbl val="0"/>
      </c:catAx>
      <c:valAx>
        <c:axId val="4476973"/>
        <c:scaling>
          <c:orientation val="minMax"/>
          <c:max val="2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36684"/>
        <c:crossesAt val="1"/>
        <c:crossBetween val="between"/>
        <c:dispUnits/>
        <c:majorUnit val="2"/>
      </c:valAx>
      <c:catAx>
        <c:axId val="61867810"/>
        <c:scaling>
          <c:orientation val="minMax"/>
        </c:scaling>
        <c:axPos val="b"/>
        <c:delete val="1"/>
        <c:majorTickMark val="in"/>
        <c:minorTickMark val="none"/>
        <c:tickLblPos val="nextTo"/>
        <c:crossAx val="19939379"/>
        <c:crosses val="autoZero"/>
        <c:auto val="0"/>
        <c:lblOffset val="100"/>
        <c:noMultiLvlLbl val="0"/>
      </c:catAx>
      <c:valAx>
        <c:axId val="1993937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67810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'勝浦'!$B$6:$B$29</c:f>
              <c:numCache/>
            </c:numRef>
          </c:cat>
          <c:val>
            <c:numRef>
              <c:f>'勝浦'!$X$6:$X$29</c:f>
              <c:numCache>
                <c:ptCount val="24"/>
                <c:pt idx="0">
                  <c:v>315</c:v>
                </c:pt>
                <c:pt idx="1">
                  <c:v>337.5</c:v>
                </c:pt>
                <c:pt idx="2">
                  <c:v>315</c:v>
                </c:pt>
                <c:pt idx="3">
                  <c:v>337.5</c:v>
                </c:pt>
                <c:pt idx="4">
                  <c:v>337.5</c:v>
                </c:pt>
                <c:pt idx="5">
                  <c:v>337.5</c:v>
                </c:pt>
                <c:pt idx="6">
                  <c:v>337.5</c:v>
                </c:pt>
                <c:pt idx="7">
                  <c:v>0</c:v>
                </c:pt>
                <c:pt idx="8">
                  <c:v>0</c:v>
                </c:pt>
                <c:pt idx="9">
                  <c:v>22.5</c:v>
                </c:pt>
                <c:pt idx="10">
                  <c:v>22.5</c:v>
                </c:pt>
                <c:pt idx="11">
                  <c:v>315</c:v>
                </c:pt>
                <c:pt idx="12">
                  <c:v>337.5</c:v>
                </c:pt>
                <c:pt idx="13">
                  <c:v>0</c:v>
                </c:pt>
                <c:pt idx="14">
                  <c:v>337.5</c:v>
                </c:pt>
                <c:pt idx="15">
                  <c:v>337.5</c:v>
                </c:pt>
                <c:pt idx="16">
                  <c:v>292.5</c:v>
                </c:pt>
                <c:pt idx="17">
                  <c:v>247.5</c:v>
                </c:pt>
                <c:pt idx="18">
                  <c:v>315</c:v>
                </c:pt>
                <c:pt idx="19">
                  <c:v>292.5</c:v>
                </c:pt>
                <c:pt idx="20">
                  <c:v>45</c:v>
                </c:pt>
                <c:pt idx="21">
                  <c:v>22.5</c:v>
                </c:pt>
                <c:pt idx="22">
                  <c:v>22.5</c:v>
                </c:pt>
                <c:pt idx="23">
                  <c:v>45</c:v>
                </c:pt>
              </c:numCache>
            </c:numRef>
          </c:val>
          <c:smooth val="0"/>
        </c:ser>
        <c:marker val="1"/>
        <c:axId val="35654602"/>
        <c:axId val="52455963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'勝浦'!$H$6:$H$29</c:f>
              <c:numCache/>
            </c:numRef>
          </c:val>
          <c:smooth val="0"/>
        </c:ser>
        <c:marker val="1"/>
        <c:axId val="2341620"/>
        <c:axId val="21074581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55963"/>
        <c:crosses val="autoZero"/>
        <c:auto val="0"/>
        <c:lblOffset val="100"/>
        <c:tickLblSkip val="2"/>
        <c:noMultiLvlLbl val="0"/>
      </c:catAx>
      <c:valAx>
        <c:axId val="52455963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5654602"/>
        <c:crossesAt val="1"/>
        <c:crossBetween val="between"/>
        <c:dispUnits/>
        <c:majorUnit val="45"/>
      </c:valAx>
      <c:catAx>
        <c:axId val="2341620"/>
        <c:scaling>
          <c:orientation val="minMax"/>
        </c:scaling>
        <c:axPos val="b"/>
        <c:delete val="1"/>
        <c:majorTickMark val="in"/>
        <c:minorTickMark val="none"/>
        <c:tickLblPos val="nextTo"/>
        <c:crossAx val="21074581"/>
        <c:crosses val="autoZero"/>
        <c:auto val="0"/>
        <c:lblOffset val="100"/>
        <c:noMultiLvlLbl val="0"/>
      </c:catAx>
      <c:valAx>
        <c:axId val="2107458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341620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525"/>
          <c:w val="0.89575"/>
          <c:h val="0.8267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'銚子'!$B$6:$B$29</c:f>
              <c:numCache/>
            </c:numRef>
          </c:cat>
          <c:val>
            <c:numRef>
              <c:f>'銚子'!$D$6:$D$29</c:f>
              <c:numCache/>
            </c:numRef>
          </c:val>
          <c:smooth val="0"/>
        </c:ser>
        <c:marker val="1"/>
        <c:axId val="55453502"/>
        <c:axId val="29319471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'銚子'!$T$6:$T$29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'銚子'!$S$6:$S$29</c:f>
              <c:numCache/>
            </c:numRef>
          </c:val>
          <c:smooth val="0"/>
        </c:ser>
        <c:marker val="1"/>
        <c:axId val="62548648"/>
        <c:axId val="26066921"/>
      </c:line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19471"/>
        <c:crosses val="autoZero"/>
        <c:auto val="0"/>
        <c:lblOffset val="100"/>
        <c:tickLblSkip val="2"/>
        <c:noMultiLvlLbl val="0"/>
      </c:catAx>
      <c:valAx>
        <c:axId val="293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53502"/>
        <c:crossesAt val="1"/>
        <c:crossBetween val="between"/>
        <c:dispUnits/>
      </c:valAx>
      <c:catAx>
        <c:axId val="62548648"/>
        <c:scaling>
          <c:orientation val="minMax"/>
        </c:scaling>
        <c:axPos val="b"/>
        <c:delete val="1"/>
        <c:majorTickMark val="in"/>
        <c:minorTickMark val="none"/>
        <c:tickLblPos val="nextTo"/>
        <c:crossAx val="26066921"/>
        <c:crosses val="autoZero"/>
        <c:auto val="0"/>
        <c:lblOffset val="100"/>
        <c:noMultiLvlLbl val="0"/>
      </c:catAx>
      <c:valAx>
        <c:axId val="2606692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25486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'銚子'!$I$6:$I$29</c:f>
              <c:numCache/>
            </c:numRef>
          </c:val>
        </c:ser>
        <c:gapWidth val="50"/>
        <c:axId val="33275698"/>
        <c:axId val="31045827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'銚子'!$B$6:$B$29</c:f>
              <c:numCache/>
            </c:numRef>
          </c:cat>
          <c:val>
            <c:numRef>
              <c:f>'銚子'!$E$6:$E$29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'銚子'!$N$6:$N$29</c:f>
              <c:numCache/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84029"/>
        <c:crosses val="autoZero"/>
        <c:auto val="0"/>
        <c:lblOffset val="100"/>
        <c:tickLblSkip val="2"/>
        <c:noMultiLvlLbl val="0"/>
      </c:catAx>
      <c:valAx>
        <c:axId val="31684029"/>
        <c:scaling>
          <c:orientation val="minMax"/>
          <c:max val="24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76988"/>
        <c:crossesAt val="1"/>
        <c:crossBetween val="between"/>
        <c:dispUnits/>
      </c:valAx>
      <c:catAx>
        <c:axId val="33275698"/>
        <c:scaling>
          <c:orientation val="minMax"/>
        </c:scaling>
        <c:axPos val="b"/>
        <c:delete val="1"/>
        <c:majorTickMark val="in"/>
        <c:minorTickMark val="none"/>
        <c:tickLblPos val="nextTo"/>
        <c:crossAx val="31045827"/>
        <c:crosses val="autoZero"/>
        <c:auto val="0"/>
        <c:lblOffset val="100"/>
        <c:noMultiLvlLbl val="0"/>
      </c:catAx>
      <c:valAx>
        <c:axId val="3104582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7569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'銚子'!$B$6:$B$29</c:f>
              <c:numCache/>
            </c:numRef>
          </c:cat>
          <c:val>
            <c:numRef>
              <c:f>'銚子'!$Q$6:$Q$29</c:f>
              <c:numCache/>
            </c:numRef>
          </c:val>
          <c:smooth val="0"/>
        </c:ser>
        <c:marker val="1"/>
        <c:axId val="16720806"/>
        <c:axId val="16269527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'銚子'!$W$6:$W$29</c:f>
              <c:numCache/>
            </c:numRef>
          </c:val>
          <c:smooth val="0"/>
        </c:ser>
        <c:marker val="1"/>
        <c:axId val="12208016"/>
        <c:axId val="42763281"/>
      </c:line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69527"/>
        <c:crosses val="autoZero"/>
        <c:auto val="0"/>
        <c:lblOffset val="100"/>
        <c:tickLblSkip val="2"/>
        <c:noMultiLvlLbl val="0"/>
      </c:catAx>
      <c:valAx>
        <c:axId val="16269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6720806"/>
        <c:crossesAt val="1"/>
        <c:crossBetween val="between"/>
        <c:dispUnits/>
      </c:valAx>
      <c:catAx>
        <c:axId val="12208016"/>
        <c:scaling>
          <c:orientation val="minMax"/>
        </c:scaling>
        <c:axPos val="b"/>
        <c:delete val="1"/>
        <c:majorTickMark val="in"/>
        <c:minorTickMark val="none"/>
        <c:tickLblPos val="nextTo"/>
        <c:crossAx val="42763281"/>
        <c:crosses val="autoZero"/>
        <c:auto val="0"/>
        <c:lblOffset val="100"/>
        <c:noMultiLvlLbl val="0"/>
      </c:catAx>
      <c:valAx>
        <c:axId val="4276328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22080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'銚子'!$B$6:$B$29</c:f>
              <c:numCache/>
            </c:numRef>
          </c:cat>
          <c:val>
            <c:numRef>
              <c:f>'銚子'!$X$6:$X$29</c:f>
              <c:numCache/>
            </c:numRef>
          </c:val>
          <c:smooth val="0"/>
        </c:ser>
        <c:marker val="1"/>
        <c:axId val="49325210"/>
        <c:axId val="41273707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'銚子'!$H$6:$H$29</c:f>
              <c:numCache/>
            </c:numRef>
          </c:val>
          <c:smooth val="0"/>
        </c:ser>
        <c:marker val="1"/>
        <c:axId val="35919044"/>
        <c:axId val="54835941"/>
      </c:line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73707"/>
        <c:crosses val="autoZero"/>
        <c:auto val="0"/>
        <c:lblOffset val="100"/>
        <c:tickLblSkip val="2"/>
        <c:noMultiLvlLbl val="0"/>
      </c:catAx>
      <c:valAx>
        <c:axId val="41273707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9325210"/>
        <c:crossesAt val="1"/>
        <c:crossBetween val="between"/>
        <c:dispUnits/>
        <c:majorUnit val="45"/>
      </c:valAx>
      <c:catAx>
        <c:axId val="35919044"/>
        <c:scaling>
          <c:orientation val="minMax"/>
        </c:scaling>
        <c:axPos val="b"/>
        <c:delete val="1"/>
        <c:majorTickMark val="in"/>
        <c:minorTickMark val="none"/>
        <c:tickLblPos val="nextTo"/>
        <c:crossAx val="54835941"/>
        <c:crosses val="autoZero"/>
        <c:auto val="0"/>
        <c:lblOffset val="100"/>
        <c:noMultiLvlLbl val="0"/>
      </c:catAx>
      <c:valAx>
        <c:axId val="5483594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591904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'熊谷'!$B$6:$B$29</c:f>
              <c:numCache/>
            </c:numRef>
          </c:cat>
          <c:val>
            <c:numRef>
              <c:f>'熊谷'!$Q$6:$Q$29</c:f>
              <c:numCache>
                <c:ptCount val="24"/>
                <c:pt idx="0">
                  <c:v>318.9368023207463</c:v>
                </c:pt>
                <c:pt idx="1">
                  <c:v>319.29002432609485</c:v>
                </c:pt>
                <c:pt idx="2">
                  <c:v>319.37561764322413</c:v>
                </c:pt>
                <c:pt idx="3">
                  <c:v>320.07524416109055</c:v>
                </c:pt>
                <c:pt idx="4">
                  <c:v>320.13037696197983</c:v>
                </c:pt>
                <c:pt idx="5">
                  <c:v>320.10372909719007</c:v>
                </c:pt>
                <c:pt idx="6">
                  <c:v>322.818624858029</c:v>
                </c:pt>
                <c:pt idx="7">
                  <c:v>325.61317257728257</c:v>
                </c:pt>
                <c:pt idx="8">
                  <c:v>324.3000077763088</c:v>
                </c:pt>
                <c:pt idx="9">
                  <c:v>324.7336265722224</c:v>
                </c:pt>
                <c:pt idx="10">
                  <c:v>326.6885483595983</c:v>
                </c:pt>
                <c:pt idx="11">
                  <c:v>326.8073220554913</c:v>
                </c:pt>
                <c:pt idx="12">
                  <c:v>328.11343607678384</c:v>
                </c:pt>
                <c:pt idx="13">
                  <c:v>331.12382355780903</c:v>
                </c:pt>
                <c:pt idx="14">
                  <c:v>334.7506725048924</c:v>
                </c:pt>
                <c:pt idx="15">
                  <c:v>334.3040616362952</c:v>
                </c:pt>
                <c:pt idx="16">
                  <c:v>333.38769089642506</c:v>
                </c:pt>
                <c:pt idx="17">
                  <c:v>331.22936523278</c:v>
                </c:pt>
                <c:pt idx="18">
                  <c:v>325.841015765246</c:v>
                </c:pt>
                <c:pt idx="19">
                  <c:v>325.39414211956523</c:v>
                </c:pt>
                <c:pt idx="20">
                  <c:v>329.1064110732506</c:v>
                </c:pt>
                <c:pt idx="21">
                  <c:v>326.81182650023794</c:v>
                </c:pt>
                <c:pt idx="22">
                  <c:v>325.04151030063974</c:v>
                </c:pt>
                <c:pt idx="23">
                  <c:v>324.341688892818</c:v>
                </c:pt>
              </c:numCache>
            </c:numRef>
          </c:val>
          <c:smooth val="0"/>
        </c:ser>
        <c:marker val="1"/>
        <c:axId val="40292758"/>
        <c:axId val="27090503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'熊谷'!$W$6:$W$29</c:f>
              <c:numCache>
                <c:ptCount val="24"/>
                <c:pt idx="1">
                  <c:v>0.35322200534852755</c:v>
                </c:pt>
                <c:pt idx="2">
                  <c:v>0.08559331712928042</c:v>
                </c:pt>
                <c:pt idx="3">
                  <c:v>0.6996265178664203</c:v>
                </c:pt>
                <c:pt idx="4">
                  <c:v>0.05513280088928241</c:v>
                </c:pt>
                <c:pt idx="5">
                  <c:v>-0.026647864789765663</c:v>
                </c:pt>
                <c:pt idx="6">
                  <c:v>2.7148957608389424</c:v>
                </c:pt>
                <c:pt idx="7">
                  <c:v>2.7945477192535577</c:v>
                </c:pt>
                <c:pt idx="8">
                  <c:v>-1.313164800973766</c:v>
                </c:pt>
                <c:pt idx="9">
                  <c:v>0.43361879591361685</c:v>
                </c:pt>
                <c:pt idx="10">
                  <c:v>1.9549217873758948</c:v>
                </c:pt>
                <c:pt idx="11">
                  <c:v>0.11877369589296904</c:v>
                </c:pt>
                <c:pt idx="12">
                  <c:v>1.306114021292558</c:v>
                </c:pt>
                <c:pt idx="13">
                  <c:v>3.010387481025191</c:v>
                </c:pt>
                <c:pt idx="14">
                  <c:v>3.6268489470833742</c:v>
                </c:pt>
                <c:pt idx="15">
                  <c:v>-0.44661086859719035</c:v>
                </c:pt>
                <c:pt idx="16">
                  <c:v>-0.9163707398701604</c:v>
                </c:pt>
                <c:pt idx="17">
                  <c:v>-2.15832566364503</c:v>
                </c:pt>
                <c:pt idx="18">
                  <c:v>-5.388349467533999</c:v>
                </c:pt>
                <c:pt idx="19">
                  <c:v>-0.446873645680796</c:v>
                </c:pt>
                <c:pt idx="20">
                  <c:v>3.7122689536853954</c:v>
                </c:pt>
                <c:pt idx="21">
                  <c:v>-2.294584573012685</c:v>
                </c:pt>
                <c:pt idx="22">
                  <c:v>-1.7703161995981986</c:v>
                </c:pt>
                <c:pt idx="23">
                  <c:v>-0.6998214078217302</c:v>
                </c:pt>
              </c:numCache>
            </c:numRef>
          </c:val>
          <c:smooth val="0"/>
        </c:ser>
        <c:marker val="1"/>
        <c:axId val="42487936"/>
        <c:axId val="46847105"/>
      </c:line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90503"/>
        <c:crosses val="autoZero"/>
        <c:auto val="0"/>
        <c:lblOffset val="100"/>
        <c:tickLblSkip val="2"/>
        <c:noMultiLvlLbl val="0"/>
      </c:catAx>
      <c:valAx>
        <c:axId val="2709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0292758"/>
        <c:crossesAt val="1"/>
        <c:crossBetween val="between"/>
        <c:dispUnits/>
      </c:valAx>
      <c:catAx>
        <c:axId val="42487936"/>
        <c:scaling>
          <c:orientation val="minMax"/>
        </c:scaling>
        <c:axPos val="b"/>
        <c:delete val="1"/>
        <c:majorTickMark val="in"/>
        <c:minorTickMark val="none"/>
        <c:tickLblPos val="nextTo"/>
        <c:crossAx val="46847105"/>
        <c:crosses val="autoZero"/>
        <c:auto val="0"/>
        <c:lblOffset val="100"/>
        <c:noMultiLvlLbl val="0"/>
      </c:catAx>
      <c:valAx>
        <c:axId val="4684710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24879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'熊谷'!$B$6:$B$29</c:f>
              <c:numCache/>
            </c:numRef>
          </c:cat>
          <c:val>
            <c:numRef>
              <c:f>'熊谷'!$X$6:$X$29</c:f>
              <c:numCache>
                <c:ptCount val="24"/>
                <c:pt idx="0">
                  <c:v>315</c:v>
                </c:pt>
                <c:pt idx="1">
                  <c:v>315</c:v>
                </c:pt>
                <c:pt idx="2">
                  <c:v>315</c:v>
                </c:pt>
                <c:pt idx="3">
                  <c:v>315</c:v>
                </c:pt>
                <c:pt idx="4">
                  <c:v>315</c:v>
                </c:pt>
                <c:pt idx="5">
                  <c:v>337.5</c:v>
                </c:pt>
                <c:pt idx="6">
                  <c:v>292.5</c:v>
                </c:pt>
                <c:pt idx="7">
                  <c:v>315</c:v>
                </c:pt>
                <c:pt idx="8">
                  <c:v>292.5</c:v>
                </c:pt>
                <c:pt idx="9">
                  <c:v>315</c:v>
                </c:pt>
                <c:pt idx="10">
                  <c:v>315</c:v>
                </c:pt>
                <c:pt idx="11">
                  <c:v>315</c:v>
                </c:pt>
                <c:pt idx="12">
                  <c:v>337.5</c:v>
                </c:pt>
                <c:pt idx="13">
                  <c:v>315</c:v>
                </c:pt>
                <c:pt idx="14">
                  <c:v>315</c:v>
                </c:pt>
                <c:pt idx="15">
                  <c:v>337.5</c:v>
                </c:pt>
                <c:pt idx="16">
                  <c:v>270</c:v>
                </c:pt>
                <c:pt idx="17">
                  <c:v>225</c:v>
                </c:pt>
                <c:pt idx="18">
                  <c:v>270</c:v>
                </c:pt>
                <c:pt idx="19">
                  <c:v>270</c:v>
                </c:pt>
                <c:pt idx="20">
                  <c:v>247.5</c:v>
                </c:pt>
                <c:pt idx="21">
                  <c:v>270</c:v>
                </c:pt>
                <c:pt idx="22">
                  <c:v>292.5</c:v>
                </c:pt>
                <c:pt idx="23">
                  <c:v>270</c:v>
                </c:pt>
              </c:numCache>
            </c:numRef>
          </c:val>
          <c:smooth val="0"/>
        </c:ser>
        <c:marker val="1"/>
        <c:axId val="18970762"/>
        <c:axId val="36519131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'熊谷'!$H$6:$H$29</c:f>
              <c:numCache/>
            </c:numRef>
          </c:val>
          <c:smooth val="0"/>
        </c:ser>
        <c:marker val="1"/>
        <c:axId val="60236724"/>
        <c:axId val="5259605"/>
      </c:line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19131"/>
        <c:crosses val="autoZero"/>
        <c:auto val="0"/>
        <c:lblOffset val="100"/>
        <c:tickLblSkip val="2"/>
        <c:noMultiLvlLbl val="0"/>
      </c:catAx>
      <c:valAx>
        <c:axId val="36519131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8970762"/>
        <c:crossesAt val="1"/>
        <c:crossBetween val="between"/>
        <c:dispUnits/>
        <c:majorUnit val="45"/>
      </c:valAx>
      <c:catAx>
        <c:axId val="60236724"/>
        <c:scaling>
          <c:orientation val="minMax"/>
        </c:scaling>
        <c:axPos val="b"/>
        <c:delete val="1"/>
        <c:majorTickMark val="in"/>
        <c:minorTickMark val="none"/>
        <c:tickLblPos val="nextTo"/>
        <c:crossAx val="5259605"/>
        <c:crosses val="autoZero"/>
        <c:auto val="0"/>
        <c:lblOffset val="100"/>
        <c:noMultiLvlLbl val="0"/>
      </c:catAx>
      <c:valAx>
        <c:axId val="525960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023672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75"/>
          <c:w val="0.89575"/>
          <c:h val="0.8622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'東京'!$B$6:$B$29</c:f>
              <c:numCache/>
            </c:numRef>
          </c:cat>
          <c:val>
            <c:numRef>
              <c:f>'東京'!$D$6:$D$29</c:f>
              <c:numCache/>
            </c:numRef>
          </c:val>
          <c:smooth val="0"/>
        </c:ser>
        <c:marker val="1"/>
        <c:axId val="47336446"/>
        <c:axId val="23374831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'東京'!$T$6:$T$29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'東京'!$S$6:$S$29</c:f>
              <c:numCache/>
            </c:numRef>
          </c:val>
          <c:smooth val="0"/>
        </c:ser>
        <c:marker val="1"/>
        <c:axId val="9046888"/>
        <c:axId val="14313129"/>
      </c:lineChart>
      <c:catAx>
        <c:axId val="47336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74831"/>
        <c:crosses val="autoZero"/>
        <c:auto val="0"/>
        <c:lblOffset val="100"/>
        <c:tickLblSkip val="2"/>
        <c:noMultiLvlLbl val="0"/>
      </c:catAx>
      <c:valAx>
        <c:axId val="233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36446"/>
        <c:crossesAt val="1"/>
        <c:crossBetween val="between"/>
        <c:dispUnits/>
      </c:valAx>
      <c:catAx>
        <c:axId val="9046888"/>
        <c:scaling>
          <c:orientation val="minMax"/>
        </c:scaling>
        <c:axPos val="b"/>
        <c:delete val="1"/>
        <c:majorTickMark val="in"/>
        <c:minorTickMark val="none"/>
        <c:tickLblPos val="nextTo"/>
        <c:crossAx val="14313129"/>
        <c:crosses val="autoZero"/>
        <c:auto val="0"/>
        <c:lblOffset val="100"/>
        <c:noMultiLvlLbl val="0"/>
      </c:catAx>
      <c:valAx>
        <c:axId val="1431312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904688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'東京'!$I$6:$I$29</c:f>
              <c:numCache/>
            </c:numRef>
          </c:val>
        </c:ser>
        <c:gapWidth val="50"/>
        <c:axId val="61709298"/>
        <c:axId val="18512771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'東京'!$B$6:$B$29</c:f>
              <c:numCache/>
            </c:numRef>
          </c:cat>
          <c:val>
            <c:numRef>
              <c:f>'東京'!$E$6:$E$29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'東京'!$N$6:$N$29</c:f>
              <c:numCache/>
            </c:numRef>
          </c:val>
          <c:smooth val="0"/>
        </c:ser>
        <c:marker val="1"/>
        <c:axId val="32397212"/>
        <c:axId val="23139453"/>
      </c:line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39453"/>
        <c:crosses val="autoZero"/>
        <c:auto val="0"/>
        <c:lblOffset val="100"/>
        <c:tickLblSkip val="2"/>
        <c:noMultiLvlLbl val="0"/>
      </c:catAx>
      <c:valAx>
        <c:axId val="23139453"/>
        <c:scaling>
          <c:orientation val="minMax"/>
          <c:max val="2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97212"/>
        <c:crossesAt val="1"/>
        <c:crossBetween val="between"/>
        <c:dispUnits/>
        <c:majorUnit val="2"/>
      </c:valAx>
      <c:catAx>
        <c:axId val="61709298"/>
        <c:scaling>
          <c:orientation val="minMax"/>
        </c:scaling>
        <c:axPos val="b"/>
        <c:delete val="1"/>
        <c:majorTickMark val="in"/>
        <c:minorTickMark val="none"/>
        <c:tickLblPos val="nextTo"/>
        <c:crossAx val="18512771"/>
        <c:crosses val="autoZero"/>
        <c:auto val="0"/>
        <c:lblOffset val="100"/>
        <c:noMultiLvlLbl val="0"/>
      </c:catAx>
      <c:valAx>
        <c:axId val="1851277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0929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'東京'!$B$6:$B$29</c:f>
              <c:numCache/>
            </c:numRef>
          </c:cat>
          <c:val>
            <c:numRef>
              <c:f>'東京'!$Q$6:$Q$29</c:f>
              <c:numCache>
                <c:ptCount val="24"/>
                <c:pt idx="0">
                  <c:v>318.1349039078639</c:v>
                </c:pt>
                <c:pt idx="1">
                  <c:v>319.15837848137613</c:v>
                </c:pt>
                <c:pt idx="2">
                  <c:v>319.7344333762465</c:v>
                </c:pt>
                <c:pt idx="3">
                  <c:v>320.1147100930828</c:v>
                </c:pt>
                <c:pt idx="4">
                  <c:v>320.7206744155041</c:v>
                </c:pt>
                <c:pt idx="5">
                  <c:v>321.555147379817</c:v>
                </c:pt>
                <c:pt idx="6">
                  <c:v>323.32701845919877</c:v>
                </c:pt>
                <c:pt idx="7">
                  <c:v>323.7954160064719</c:v>
                </c:pt>
                <c:pt idx="8">
                  <c:v>325.2020993474802</c:v>
                </c:pt>
                <c:pt idx="9">
                  <c:v>326.48452358884487</c:v>
                </c:pt>
                <c:pt idx="10">
                  <c:v>328.1150071546632</c:v>
                </c:pt>
                <c:pt idx="11">
                  <c:v>327.6978282189196</c:v>
                </c:pt>
                <c:pt idx="12">
                  <c:v>327.9735668542675</c:v>
                </c:pt>
                <c:pt idx="13">
                  <c:v>329.8815773950148</c:v>
                </c:pt>
                <c:pt idx="14">
                  <c:v>329.8810050422067</c:v>
                </c:pt>
                <c:pt idx="15">
                  <c:v>331.9335484498017</c:v>
                </c:pt>
                <c:pt idx="16">
                  <c:v>331.77277523958327</c:v>
                </c:pt>
                <c:pt idx="17">
                  <c:v>329.6556540439993</c:v>
                </c:pt>
                <c:pt idx="18">
                  <c:v>329.9830091181614</c:v>
                </c:pt>
                <c:pt idx="19">
                  <c:v>330.17999346141596</c:v>
                </c:pt>
                <c:pt idx="20">
                  <c:v>329.81941849797767</c:v>
                </c:pt>
                <c:pt idx="21">
                  <c:v>330.7119609490493</c:v>
                </c:pt>
                <c:pt idx="22">
                  <c:v>330.55624662188075</c:v>
                </c:pt>
                <c:pt idx="23">
                  <c:v>329.25417313920707</c:v>
                </c:pt>
              </c:numCache>
            </c:numRef>
          </c:val>
          <c:smooth val="0"/>
        </c:ser>
        <c:marker val="1"/>
        <c:axId val="6928486"/>
        <c:axId val="62356375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'東京'!$W$6:$W$29</c:f>
              <c:numCache>
                <c:ptCount val="24"/>
                <c:pt idx="1">
                  <c:v>1.0234745735122601</c:v>
                </c:pt>
                <c:pt idx="2">
                  <c:v>0.5760548948703672</c:v>
                </c:pt>
                <c:pt idx="3">
                  <c:v>0.38027671683630615</c:v>
                </c:pt>
                <c:pt idx="4">
                  <c:v>0.6059643224213005</c:v>
                </c:pt>
                <c:pt idx="5">
                  <c:v>0.8344729643129085</c:v>
                </c:pt>
                <c:pt idx="6">
                  <c:v>1.7718710793817536</c:v>
                </c:pt>
                <c:pt idx="7">
                  <c:v>0.46839754727312766</c:v>
                </c:pt>
                <c:pt idx="8">
                  <c:v>1.4066833410083177</c:v>
                </c:pt>
                <c:pt idx="9">
                  <c:v>1.2824242413646516</c:v>
                </c:pt>
                <c:pt idx="10">
                  <c:v>1.6304835658183379</c:v>
                </c:pt>
                <c:pt idx="11">
                  <c:v>-0.41717893574360687</c:v>
                </c:pt>
                <c:pt idx="12">
                  <c:v>0.27573863534792054</c:v>
                </c:pt>
                <c:pt idx="13">
                  <c:v>1.9080105407472843</c:v>
                </c:pt>
                <c:pt idx="14">
                  <c:v>-0.0005723528080920914</c:v>
                </c:pt>
                <c:pt idx="15">
                  <c:v>2.05254340759501</c:v>
                </c:pt>
                <c:pt idx="16">
                  <c:v>-0.16077321021845137</c:v>
                </c:pt>
                <c:pt idx="17">
                  <c:v>-2.117121195583991</c:v>
                </c:pt>
                <c:pt idx="18">
                  <c:v>0.32735507416214205</c:v>
                </c:pt>
                <c:pt idx="19">
                  <c:v>0.19698434325454173</c:v>
                </c:pt>
                <c:pt idx="20">
                  <c:v>-0.360574963438296</c:v>
                </c:pt>
                <c:pt idx="21">
                  <c:v>0.8925424510716198</c:v>
                </c:pt>
                <c:pt idx="22">
                  <c:v>-0.15571432716853906</c:v>
                </c:pt>
                <c:pt idx="23">
                  <c:v>-1.302073482673677</c:v>
                </c:pt>
              </c:numCache>
            </c:numRef>
          </c:val>
          <c:smooth val="0"/>
        </c:ser>
        <c:marker val="1"/>
        <c:axId val="24336464"/>
        <c:axId val="17701585"/>
      </c:lineChart>
      <c:catAx>
        <c:axId val="6928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56375"/>
        <c:crosses val="autoZero"/>
        <c:auto val="0"/>
        <c:lblOffset val="100"/>
        <c:tickLblSkip val="2"/>
        <c:noMultiLvlLbl val="0"/>
      </c:catAx>
      <c:valAx>
        <c:axId val="6235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928486"/>
        <c:crossesAt val="1"/>
        <c:crossBetween val="between"/>
        <c:dispUnits/>
      </c:valAx>
      <c:catAx>
        <c:axId val="24336464"/>
        <c:scaling>
          <c:orientation val="minMax"/>
        </c:scaling>
        <c:axPos val="b"/>
        <c:delete val="1"/>
        <c:majorTickMark val="in"/>
        <c:minorTickMark val="none"/>
        <c:tickLblPos val="nextTo"/>
        <c:crossAx val="17701585"/>
        <c:crosses val="autoZero"/>
        <c:auto val="0"/>
        <c:lblOffset val="100"/>
        <c:noMultiLvlLbl val="0"/>
      </c:catAx>
      <c:valAx>
        <c:axId val="1770158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43364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'東京'!$B$6:$B$29</c:f>
              <c:numCache/>
            </c:numRef>
          </c:cat>
          <c:val>
            <c:numRef>
              <c:f>'東京'!$X$6:$X$29</c:f>
              <c:numCache>
                <c:ptCount val="24"/>
                <c:pt idx="0">
                  <c:v>337.5</c:v>
                </c:pt>
                <c:pt idx="1">
                  <c:v>337.5</c:v>
                </c:pt>
                <c:pt idx="2">
                  <c:v>315</c:v>
                </c:pt>
                <c:pt idx="3">
                  <c:v>337.5</c:v>
                </c:pt>
                <c:pt idx="4">
                  <c:v>315</c:v>
                </c:pt>
                <c:pt idx="5">
                  <c:v>337.5</c:v>
                </c:pt>
                <c:pt idx="6">
                  <c:v>337.5</c:v>
                </c:pt>
                <c:pt idx="7">
                  <c:v>337.5</c:v>
                </c:pt>
                <c:pt idx="8">
                  <c:v>337.5</c:v>
                </c:pt>
                <c:pt idx="9">
                  <c:v>337.5</c:v>
                </c:pt>
                <c:pt idx="10">
                  <c:v>337.5</c:v>
                </c:pt>
                <c:pt idx="11">
                  <c:v>337.5</c:v>
                </c:pt>
                <c:pt idx="12">
                  <c:v>22.5</c:v>
                </c:pt>
                <c:pt idx="13">
                  <c:v>315</c:v>
                </c:pt>
                <c:pt idx="14">
                  <c:v>337.5</c:v>
                </c:pt>
                <c:pt idx="15">
                  <c:v>337.5</c:v>
                </c:pt>
                <c:pt idx="16">
                  <c:v>0</c:v>
                </c:pt>
                <c:pt idx="17">
                  <c:v>225</c:v>
                </c:pt>
                <c:pt idx="18">
                  <c:v>225</c:v>
                </c:pt>
                <c:pt idx="19">
                  <c:v>225</c:v>
                </c:pt>
                <c:pt idx="20">
                  <c:v>225</c:v>
                </c:pt>
                <c:pt idx="21">
                  <c:v>225</c:v>
                </c:pt>
                <c:pt idx="22">
                  <c:v>225</c:v>
                </c:pt>
                <c:pt idx="23">
                  <c:v>247.5</c:v>
                </c:pt>
              </c:numCache>
            </c:numRef>
          </c:val>
          <c:smooth val="0"/>
        </c:ser>
        <c:marker val="1"/>
        <c:axId val="25096538"/>
        <c:axId val="24542251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'東京'!$H$6:$H$29</c:f>
              <c:numCache/>
            </c:numRef>
          </c:val>
          <c:smooth val="0"/>
        </c:ser>
        <c:marker val="1"/>
        <c:axId val="19553668"/>
        <c:axId val="41765285"/>
      </c:line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42251"/>
        <c:crosses val="autoZero"/>
        <c:auto val="0"/>
        <c:lblOffset val="100"/>
        <c:tickLblSkip val="2"/>
        <c:noMultiLvlLbl val="0"/>
      </c:catAx>
      <c:valAx>
        <c:axId val="24542251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5096538"/>
        <c:crossesAt val="1"/>
        <c:crossBetween val="between"/>
        <c:dispUnits/>
        <c:majorUnit val="45"/>
      </c:valAx>
      <c:catAx>
        <c:axId val="19553668"/>
        <c:scaling>
          <c:orientation val="minMax"/>
        </c:scaling>
        <c:axPos val="b"/>
        <c:delete val="1"/>
        <c:majorTickMark val="in"/>
        <c:minorTickMark val="none"/>
        <c:tickLblPos val="nextTo"/>
        <c:crossAx val="41765285"/>
        <c:crosses val="autoZero"/>
        <c:auto val="0"/>
        <c:lblOffset val="100"/>
        <c:noMultiLvlLbl val="0"/>
      </c:catAx>
      <c:valAx>
        <c:axId val="4176528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955366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75"/>
          <c:w val="0.89575"/>
          <c:h val="0.8622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'横浜'!$B$6:$B$29</c:f>
              <c:numCache/>
            </c:numRef>
          </c:cat>
          <c:val>
            <c:numRef>
              <c:f>'横浜'!$D$6:$D$29</c:f>
              <c:numCache/>
            </c:numRef>
          </c:val>
          <c:smooth val="0"/>
        </c:ser>
        <c:marker val="1"/>
        <c:axId val="40343246"/>
        <c:axId val="27544895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'横浜'!$T$6:$T$29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'横浜'!$S$6:$S$29</c:f>
              <c:numCache/>
            </c:numRef>
          </c:val>
          <c:smooth val="0"/>
        </c:ser>
        <c:marker val="1"/>
        <c:axId val="46577464"/>
        <c:axId val="16543993"/>
      </c:line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44895"/>
        <c:crosses val="autoZero"/>
        <c:auto val="0"/>
        <c:lblOffset val="100"/>
        <c:tickLblSkip val="2"/>
        <c:noMultiLvlLbl val="0"/>
      </c:catAx>
      <c:valAx>
        <c:axId val="2754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43246"/>
        <c:crossesAt val="1"/>
        <c:crossBetween val="between"/>
        <c:dispUnits/>
      </c:valAx>
      <c:catAx>
        <c:axId val="46577464"/>
        <c:scaling>
          <c:orientation val="minMax"/>
        </c:scaling>
        <c:axPos val="b"/>
        <c:delete val="1"/>
        <c:majorTickMark val="in"/>
        <c:minorTickMark val="none"/>
        <c:tickLblPos val="nextTo"/>
        <c:crossAx val="16543993"/>
        <c:crosses val="autoZero"/>
        <c:auto val="0"/>
        <c:lblOffset val="100"/>
        <c:noMultiLvlLbl val="0"/>
      </c:catAx>
      <c:valAx>
        <c:axId val="1654399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65774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163300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163300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135475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183100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29"/>
  <sheetViews>
    <sheetView workbookViewId="0" topLeftCell="Y1">
      <selection activeCell="Z1" sqref="Z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5" t="s">
        <v>156</v>
      </c>
      <c r="AK1" s="74"/>
      <c r="AL1" s="74"/>
      <c r="AO1" s="72" t="str">
        <f>B2</f>
        <v>熊谷</v>
      </c>
    </row>
    <row r="2" ht="17.25" customHeight="1">
      <c r="B2" t="s">
        <v>152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147</v>
      </c>
      <c r="M4" s="59" t="s">
        <v>147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1008.4</v>
      </c>
      <c r="D6" s="69">
        <v>1012.2</v>
      </c>
      <c r="E6" s="69">
        <v>16.8</v>
      </c>
      <c r="F6" s="69">
        <v>93</v>
      </c>
      <c r="G6" s="70" t="s">
        <v>140</v>
      </c>
      <c r="H6" s="69">
        <v>3.1</v>
      </c>
      <c r="I6" s="69">
        <v>5</v>
      </c>
      <c r="J6" s="69"/>
      <c r="K6" s="69"/>
      <c r="L6" s="69" t="s">
        <v>132</v>
      </c>
      <c r="M6" s="69" t="s">
        <v>132</v>
      </c>
      <c r="N6" s="65">
        <f aca="true" t="shared" si="0" ref="N6:N29">4303.4/(19.482-LN(EXP(19.482-4303.4/(E6+243.5))*F6/100))-243.5</f>
        <v>15.662384008729816</v>
      </c>
      <c r="O6" s="65">
        <f aca="true" t="shared" si="1" ref="O6:O29">E6-N6</f>
        <v>1.1376159912701844</v>
      </c>
      <c r="P6" s="66">
        <f aca="true" t="shared" si="2" ref="P6:P29">(E6+N6)/2</f>
        <v>16.231192004364907</v>
      </c>
      <c r="Q6" s="65">
        <f aca="true" t="shared" si="3" ref="Q6:Q29">EPT(E6,F6,C6)</f>
        <v>318.9368023207463</v>
      </c>
      <c r="R6" s="66">
        <f aca="true" t="shared" si="4" ref="R6:R29">q(E6,F6,C6)</f>
        <v>11.25668770430419</v>
      </c>
      <c r="S6" s="67"/>
      <c r="T6" s="67"/>
      <c r="U6" s="67"/>
      <c r="V6" s="67"/>
      <c r="W6" s="14"/>
      <c r="X6">
        <f>fuukou_get(G6)</f>
        <v>315</v>
      </c>
    </row>
    <row r="7" spans="1:24" ht="13.5">
      <c r="A7" s="14">
        <v>27</v>
      </c>
      <c r="B7" s="73">
        <v>2</v>
      </c>
      <c r="C7" s="69">
        <v>1008</v>
      </c>
      <c r="D7" s="69">
        <v>1011.8</v>
      </c>
      <c r="E7" s="69">
        <v>16.9</v>
      </c>
      <c r="F7" s="69">
        <v>93</v>
      </c>
      <c r="G7" s="70" t="s">
        <v>140</v>
      </c>
      <c r="H7" s="69">
        <v>2.7</v>
      </c>
      <c r="I7" s="69">
        <v>5</v>
      </c>
      <c r="J7" s="69"/>
      <c r="K7" s="69"/>
      <c r="L7" s="69" t="s">
        <v>132</v>
      </c>
      <c r="M7" s="69" t="s">
        <v>132</v>
      </c>
      <c r="N7" s="65">
        <f t="shared" si="0"/>
        <v>15.761511671668814</v>
      </c>
      <c r="O7" s="65">
        <f t="shared" si="1"/>
        <v>1.138488328331185</v>
      </c>
      <c r="P7" s="66">
        <f t="shared" si="2"/>
        <v>16.330755835834406</v>
      </c>
      <c r="Q7" s="65">
        <f t="shared" si="3"/>
        <v>319.29002432609485</v>
      </c>
      <c r="R7" s="66">
        <f t="shared" si="4"/>
        <v>11.335320734446562</v>
      </c>
      <c r="S7" s="67"/>
      <c r="T7" s="67">
        <f aca="true" t="shared" si="5" ref="T7:T29">D7-D6</f>
        <v>-0.40000000000009095</v>
      </c>
      <c r="U7" s="67">
        <f aca="true" t="shared" si="6" ref="U7:U29">N7-N6</f>
        <v>0.09912766293899722</v>
      </c>
      <c r="V7" s="67">
        <f aca="true" t="shared" si="7" ref="V7:V29">E7-E6</f>
        <v>0.09999999999999787</v>
      </c>
      <c r="W7" s="67">
        <f aca="true" t="shared" si="8" ref="W7:W29">Q7-Q6</f>
        <v>0.35322200534852755</v>
      </c>
      <c r="X7">
        <f aca="true" t="shared" si="9" ref="X7:X29">fuukou_get(G7)</f>
        <v>315</v>
      </c>
    </row>
    <row r="8" spans="1:24" ht="13.5">
      <c r="A8" s="14">
        <v>27</v>
      </c>
      <c r="B8" s="73">
        <v>3</v>
      </c>
      <c r="C8" s="69">
        <v>1007.3</v>
      </c>
      <c r="D8" s="69">
        <v>1011.1</v>
      </c>
      <c r="E8" s="69">
        <v>16.9</v>
      </c>
      <c r="F8" s="69">
        <v>93</v>
      </c>
      <c r="G8" s="70" t="s">
        <v>140</v>
      </c>
      <c r="H8" s="69">
        <v>3</v>
      </c>
      <c r="I8" s="69">
        <v>1.5</v>
      </c>
      <c r="J8" s="69"/>
      <c r="K8" s="69"/>
      <c r="L8" s="69" t="s">
        <v>132</v>
      </c>
      <c r="M8" s="69" t="s">
        <v>132</v>
      </c>
      <c r="N8" s="65">
        <f t="shared" si="0"/>
        <v>15.761511671668814</v>
      </c>
      <c r="O8" s="65">
        <f t="shared" si="1"/>
        <v>1.138488328331185</v>
      </c>
      <c r="P8" s="66">
        <f t="shared" si="2"/>
        <v>16.330755835834406</v>
      </c>
      <c r="Q8" s="65">
        <f t="shared" si="3"/>
        <v>319.37561764322413</v>
      </c>
      <c r="R8" s="66">
        <f t="shared" si="4"/>
        <v>11.343341611207833</v>
      </c>
      <c r="S8" s="67"/>
      <c r="T8" s="67">
        <f t="shared" si="5"/>
        <v>-0.6999999999999318</v>
      </c>
      <c r="U8" s="67">
        <f t="shared" si="6"/>
        <v>0</v>
      </c>
      <c r="V8" s="67">
        <f t="shared" si="7"/>
        <v>0</v>
      </c>
      <c r="W8" s="67">
        <f t="shared" si="8"/>
        <v>0.08559331712928042</v>
      </c>
      <c r="X8">
        <f t="shared" si="9"/>
        <v>315</v>
      </c>
    </row>
    <row r="9" spans="1:24" ht="13.5">
      <c r="A9" s="14">
        <v>27</v>
      </c>
      <c r="B9" s="73">
        <v>4</v>
      </c>
      <c r="C9" s="69">
        <v>1006.6</v>
      </c>
      <c r="D9" s="69">
        <v>1010.4</v>
      </c>
      <c r="E9" s="69">
        <v>17.1</v>
      </c>
      <c r="F9" s="69">
        <v>93</v>
      </c>
      <c r="G9" s="70" t="s">
        <v>140</v>
      </c>
      <c r="H9" s="69">
        <v>2.4</v>
      </c>
      <c r="I9" s="69">
        <v>0.5</v>
      </c>
      <c r="J9" s="69"/>
      <c r="K9" s="69"/>
      <c r="L9" s="69" t="s">
        <v>132</v>
      </c>
      <c r="M9" s="69" t="s">
        <v>132</v>
      </c>
      <c r="N9" s="65">
        <f t="shared" si="0"/>
        <v>15.95976599894766</v>
      </c>
      <c r="O9" s="65">
        <f t="shared" si="1"/>
        <v>1.1402340010523417</v>
      </c>
      <c r="P9" s="66">
        <f t="shared" si="2"/>
        <v>16.52988299947383</v>
      </c>
      <c r="Q9" s="65">
        <f t="shared" si="3"/>
        <v>320.07524416109055</v>
      </c>
      <c r="R9" s="66">
        <f t="shared" si="4"/>
        <v>11.501096108663218</v>
      </c>
      <c r="S9" s="67">
        <f aca="true" t="shared" si="10" ref="S9:S29">D9-D6</f>
        <v>-1.8000000000000682</v>
      </c>
      <c r="T9" s="67">
        <f t="shared" si="5"/>
        <v>-0.7000000000000455</v>
      </c>
      <c r="U9" s="67">
        <f t="shared" si="6"/>
        <v>0.19825432727884618</v>
      </c>
      <c r="V9" s="67">
        <f t="shared" si="7"/>
        <v>0.20000000000000284</v>
      </c>
      <c r="W9" s="67">
        <f t="shared" si="8"/>
        <v>0.6996265178664203</v>
      </c>
      <c r="X9">
        <f t="shared" si="9"/>
        <v>315</v>
      </c>
    </row>
    <row r="10" spans="1:24" ht="13.5">
      <c r="A10" s="14">
        <v>27</v>
      </c>
      <c r="B10" s="73">
        <v>5</v>
      </c>
      <c r="C10" s="69">
        <v>1006.1</v>
      </c>
      <c r="D10" s="69">
        <v>1009.9</v>
      </c>
      <c r="E10" s="69">
        <v>17.2</v>
      </c>
      <c r="F10" s="69">
        <v>92</v>
      </c>
      <c r="G10" s="70" t="s">
        <v>140</v>
      </c>
      <c r="H10" s="69">
        <v>3.2</v>
      </c>
      <c r="I10" s="69" t="s">
        <v>132</v>
      </c>
      <c r="J10" s="69"/>
      <c r="K10" s="69"/>
      <c r="L10" s="69" t="s">
        <v>132</v>
      </c>
      <c r="M10" s="69" t="s">
        <v>132</v>
      </c>
      <c r="N10" s="65">
        <f t="shared" si="0"/>
        <v>15.88975531645849</v>
      </c>
      <c r="O10" s="65">
        <f t="shared" si="1"/>
        <v>1.3102446835415087</v>
      </c>
      <c r="P10" s="66">
        <f t="shared" si="2"/>
        <v>16.544877658229247</v>
      </c>
      <c r="Q10" s="65">
        <f t="shared" si="3"/>
        <v>320.13037696197983</v>
      </c>
      <c r="R10" s="66">
        <f t="shared" si="4"/>
        <v>11.453813128498608</v>
      </c>
      <c r="S10" s="67">
        <f t="shared" si="10"/>
        <v>-1.8999999999999773</v>
      </c>
      <c r="T10" s="67">
        <f t="shared" si="5"/>
        <v>-0.5</v>
      </c>
      <c r="U10" s="67">
        <f t="shared" si="6"/>
        <v>-0.07001068248916908</v>
      </c>
      <c r="V10" s="67">
        <f t="shared" si="7"/>
        <v>0.09999999999999787</v>
      </c>
      <c r="W10" s="67">
        <f t="shared" si="8"/>
        <v>0.05513280088928241</v>
      </c>
      <c r="X10">
        <f t="shared" si="9"/>
        <v>315</v>
      </c>
    </row>
    <row r="11" spans="1:24" ht="13.5">
      <c r="A11" s="14">
        <v>27</v>
      </c>
      <c r="B11" s="73">
        <v>6</v>
      </c>
      <c r="C11" s="69">
        <v>1006</v>
      </c>
      <c r="D11" s="69">
        <v>1009.8</v>
      </c>
      <c r="E11" s="69">
        <v>17.5</v>
      </c>
      <c r="F11" s="69">
        <v>89</v>
      </c>
      <c r="G11" s="70" t="s">
        <v>135</v>
      </c>
      <c r="H11" s="69">
        <v>3</v>
      </c>
      <c r="I11" s="69" t="s">
        <v>132</v>
      </c>
      <c r="J11" s="69" t="s">
        <v>132</v>
      </c>
      <c r="K11" s="69"/>
      <c r="L11" s="69" t="s">
        <v>132</v>
      </c>
      <c r="M11" s="69" t="s">
        <v>132</v>
      </c>
      <c r="N11" s="65">
        <f t="shared" si="0"/>
        <v>15.66826525821989</v>
      </c>
      <c r="O11" s="65">
        <f t="shared" si="1"/>
        <v>1.8317347417801102</v>
      </c>
      <c r="P11" s="66">
        <f t="shared" si="2"/>
        <v>16.584132629109945</v>
      </c>
      <c r="Q11" s="65">
        <f t="shared" si="3"/>
        <v>320.10372909719007</v>
      </c>
      <c r="R11" s="66">
        <f t="shared" si="4"/>
        <v>11.288421955321333</v>
      </c>
      <c r="S11" s="67">
        <f t="shared" si="10"/>
        <v>-1.3000000000000682</v>
      </c>
      <c r="T11" s="67">
        <f t="shared" si="5"/>
        <v>-0.10000000000002274</v>
      </c>
      <c r="U11" s="67">
        <f t="shared" si="6"/>
        <v>-0.2214900582386008</v>
      </c>
      <c r="V11" s="67">
        <f t="shared" si="7"/>
        <v>0.3000000000000007</v>
      </c>
      <c r="W11" s="67">
        <f t="shared" si="8"/>
        <v>-0.026647864789765663</v>
      </c>
      <c r="X11">
        <f t="shared" si="9"/>
        <v>337.5</v>
      </c>
    </row>
    <row r="12" spans="1:24" ht="13.5">
      <c r="A12" s="14">
        <v>27</v>
      </c>
      <c r="B12" s="73">
        <v>7</v>
      </c>
      <c r="C12" s="69">
        <v>1005.9</v>
      </c>
      <c r="D12" s="69">
        <v>1009.6</v>
      </c>
      <c r="E12" s="69">
        <v>18.7</v>
      </c>
      <c r="F12" s="69">
        <v>86</v>
      </c>
      <c r="G12" s="70" t="s">
        <v>142</v>
      </c>
      <c r="H12" s="69">
        <v>2.3</v>
      </c>
      <c r="I12" s="69" t="s">
        <v>132</v>
      </c>
      <c r="J12" s="69" t="s">
        <v>132</v>
      </c>
      <c r="K12" s="69"/>
      <c r="L12" s="69" t="s">
        <v>132</v>
      </c>
      <c r="M12" s="69" t="s">
        <v>132</v>
      </c>
      <c r="N12" s="65">
        <f t="shared" si="0"/>
        <v>16.312473357100032</v>
      </c>
      <c r="O12" s="65">
        <f t="shared" si="1"/>
        <v>2.3875266428999673</v>
      </c>
      <c r="P12" s="66">
        <f t="shared" si="2"/>
        <v>17.506236678550017</v>
      </c>
      <c r="Q12" s="65">
        <f t="shared" si="3"/>
        <v>322.818624858029</v>
      </c>
      <c r="R12" s="66">
        <f t="shared" si="4"/>
        <v>11.780276000319176</v>
      </c>
      <c r="S12" s="67">
        <f t="shared" si="10"/>
        <v>-0.7999999999999545</v>
      </c>
      <c r="T12" s="67">
        <f t="shared" si="5"/>
        <v>-0.1999999999999318</v>
      </c>
      <c r="U12" s="67">
        <f t="shared" si="6"/>
        <v>0.6442080988801422</v>
      </c>
      <c r="V12" s="67">
        <f t="shared" si="7"/>
        <v>1.1999999999999993</v>
      </c>
      <c r="W12" s="67">
        <f t="shared" si="8"/>
        <v>2.7148957608389424</v>
      </c>
      <c r="X12">
        <f t="shared" si="9"/>
        <v>292.5</v>
      </c>
    </row>
    <row r="13" spans="1:24" ht="13.5">
      <c r="A13" s="14">
        <v>27</v>
      </c>
      <c r="B13" s="73">
        <v>8</v>
      </c>
      <c r="C13" s="69">
        <v>1005.7</v>
      </c>
      <c r="D13" s="69">
        <v>1009.4</v>
      </c>
      <c r="E13" s="69">
        <v>20.4</v>
      </c>
      <c r="F13" s="69">
        <v>79</v>
      </c>
      <c r="G13" s="70" t="s">
        <v>140</v>
      </c>
      <c r="H13" s="69">
        <v>2</v>
      </c>
      <c r="I13" s="69" t="s">
        <v>132</v>
      </c>
      <c r="J13" s="69" t="s">
        <v>132</v>
      </c>
      <c r="K13" s="69"/>
      <c r="L13" s="69" t="s">
        <v>132</v>
      </c>
      <c r="M13" s="69" t="s">
        <v>132</v>
      </c>
      <c r="N13" s="65">
        <f t="shared" si="0"/>
        <v>16.63959291124951</v>
      </c>
      <c r="O13" s="65">
        <f t="shared" si="1"/>
        <v>3.7604070887504903</v>
      </c>
      <c r="P13" s="66">
        <f t="shared" si="2"/>
        <v>18.519796455624753</v>
      </c>
      <c r="Q13" s="65">
        <f t="shared" si="3"/>
        <v>325.61317257728257</v>
      </c>
      <c r="R13" s="66">
        <f t="shared" si="4"/>
        <v>12.039281947620207</v>
      </c>
      <c r="S13" s="67">
        <f t="shared" si="10"/>
        <v>-0.5</v>
      </c>
      <c r="T13" s="67">
        <f t="shared" si="5"/>
        <v>-0.20000000000004547</v>
      </c>
      <c r="U13" s="67">
        <f t="shared" si="6"/>
        <v>0.32711955414947624</v>
      </c>
      <c r="V13" s="67">
        <f t="shared" si="7"/>
        <v>1.6999999999999993</v>
      </c>
      <c r="W13" s="67">
        <f t="shared" si="8"/>
        <v>2.7945477192535577</v>
      </c>
      <c r="X13">
        <f t="shared" si="9"/>
        <v>315</v>
      </c>
    </row>
    <row r="14" spans="1:24" ht="13.5">
      <c r="A14" s="14">
        <v>27</v>
      </c>
      <c r="B14" s="73">
        <v>9</v>
      </c>
      <c r="C14" s="69">
        <v>1006</v>
      </c>
      <c r="D14" s="69">
        <v>1009.7</v>
      </c>
      <c r="E14" s="69">
        <v>19.4</v>
      </c>
      <c r="F14" s="69">
        <v>84</v>
      </c>
      <c r="G14" s="70" t="s">
        <v>142</v>
      </c>
      <c r="H14" s="69">
        <v>2.1</v>
      </c>
      <c r="I14" s="69">
        <v>0</v>
      </c>
      <c r="J14" s="69" t="s">
        <v>132</v>
      </c>
      <c r="K14" s="69"/>
      <c r="L14" s="69" t="s">
        <v>132</v>
      </c>
      <c r="M14" s="69" t="s">
        <v>132</v>
      </c>
      <c r="N14" s="65">
        <f t="shared" si="0"/>
        <v>16.629243016597172</v>
      </c>
      <c r="O14" s="65">
        <f t="shared" si="1"/>
        <v>2.7707569834028263</v>
      </c>
      <c r="P14" s="66">
        <f t="shared" si="2"/>
        <v>18.014621508298585</v>
      </c>
      <c r="Q14" s="65">
        <f t="shared" si="3"/>
        <v>324.3000077763088</v>
      </c>
      <c r="R14" s="66">
        <f t="shared" si="4"/>
        <v>12.027427851304438</v>
      </c>
      <c r="S14" s="67">
        <f t="shared" si="10"/>
        <v>-0.09999999999990905</v>
      </c>
      <c r="T14" s="67">
        <f t="shared" si="5"/>
        <v>0.3000000000000682</v>
      </c>
      <c r="U14" s="67">
        <f t="shared" si="6"/>
        <v>-0.010349894652335934</v>
      </c>
      <c r="V14" s="67">
        <f t="shared" si="7"/>
        <v>-1</v>
      </c>
      <c r="W14" s="67">
        <f t="shared" si="8"/>
        <v>-1.313164800973766</v>
      </c>
      <c r="X14">
        <f t="shared" si="9"/>
        <v>292.5</v>
      </c>
    </row>
    <row r="15" spans="1:24" ht="13.5">
      <c r="A15" s="14">
        <v>27</v>
      </c>
      <c r="B15" s="73">
        <v>10</v>
      </c>
      <c r="C15" s="69">
        <v>1005.5</v>
      </c>
      <c r="D15" s="69">
        <v>1009.2</v>
      </c>
      <c r="E15" s="69">
        <v>19.4</v>
      </c>
      <c r="F15" s="69">
        <v>85</v>
      </c>
      <c r="G15" s="70" t="s">
        <v>140</v>
      </c>
      <c r="H15" s="69">
        <v>1.8</v>
      </c>
      <c r="I15" s="69">
        <v>0.5</v>
      </c>
      <c r="J15" s="69" t="s">
        <v>132</v>
      </c>
      <c r="K15" s="69"/>
      <c r="L15" s="69" t="s">
        <v>132</v>
      </c>
      <c r="M15" s="69" t="s">
        <v>132</v>
      </c>
      <c r="N15" s="65">
        <f t="shared" si="0"/>
        <v>16.81546278723539</v>
      </c>
      <c r="O15" s="65">
        <f t="shared" si="1"/>
        <v>2.5845372127646087</v>
      </c>
      <c r="P15" s="66">
        <f t="shared" si="2"/>
        <v>18.107731393617694</v>
      </c>
      <c r="Q15" s="65">
        <f t="shared" si="3"/>
        <v>324.7336265722224</v>
      </c>
      <c r="R15" s="66">
        <f t="shared" si="4"/>
        <v>12.181820319057257</v>
      </c>
      <c r="S15" s="67">
        <f t="shared" si="10"/>
        <v>-0.39999999999997726</v>
      </c>
      <c r="T15" s="67">
        <f t="shared" si="5"/>
        <v>-0.5</v>
      </c>
      <c r="U15" s="67">
        <f t="shared" si="6"/>
        <v>0.1862197706382176</v>
      </c>
      <c r="V15" s="67">
        <f t="shared" si="7"/>
        <v>0</v>
      </c>
      <c r="W15" s="67">
        <f t="shared" si="8"/>
        <v>0.43361879591361685</v>
      </c>
      <c r="X15">
        <f t="shared" si="9"/>
        <v>315</v>
      </c>
    </row>
    <row r="16" spans="1:24" ht="13.5">
      <c r="A16" s="14">
        <v>27</v>
      </c>
      <c r="B16" s="73">
        <v>11</v>
      </c>
      <c r="C16" s="69">
        <v>1004.7</v>
      </c>
      <c r="D16" s="69">
        <v>1008.4</v>
      </c>
      <c r="E16" s="69">
        <v>19.4</v>
      </c>
      <c r="F16" s="69">
        <v>90</v>
      </c>
      <c r="G16" s="70" t="s">
        <v>140</v>
      </c>
      <c r="H16" s="69">
        <v>2.5</v>
      </c>
      <c r="I16" s="69">
        <v>1</v>
      </c>
      <c r="J16" s="69" t="s">
        <v>132</v>
      </c>
      <c r="K16" s="69"/>
      <c r="L16" s="69" t="s">
        <v>132</v>
      </c>
      <c r="M16" s="69" t="s">
        <v>132</v>
      </c>
      <c r="N16" s="65">
        <f t="shared" si="0"/>
        <v>17.71863918881428</v>
      </c>
      <c r="O16" s="65">
        <f t="shared" si="1"/>
        <v>1.6813608111857192</v>
      </c>
      <c r="P16" s="66">
        <f t="shared" si="2"/>
        <v>18.55931959440714</v>
      </c>
      <c r="Q16" s="65">
        <f t="shared" si="3"/>
        <v>326.6885483595983</v>
      </c>
      <c r="R16" s="66">
        <f t="shared" si="4"/>
        <v>12.935567791587001</v>
      </c>
      <c r="S16" s="67">
        <f t="shared" si="10"/>
        <v>-1</v>
      </c>
      <c r="T16" s="67">
        <f t="shared" si="5"/>
        <v>-0.8000000000000682</v>
      </c>
      <c r="U16" s="67">
        <f t="shared" si="6"/>
        <v>0.9031764015788895</v>
      </c>
      <c r="V16" s="67">
        <f t="shared" si="7"/>
        <v>0</v>
      </c>
      <c r="W16" s="67">
        <f t="shared" si="8"/>
        <v>1.9549217873758948</v>
      </c>
      <c r="X16">
        <f t="shared" si="9"/>
        <v>315</v>
      </c>
    </row>
    <row r="17" spans="1:24" ht="13.5">
      <c r="A17" s="14">
        <v>27</v>
      </c>
      <c r="B17" s="73">
        <v>12</v>
      </c>
      <c r="C17" s="69">
        <v>1003.5</v>
      </c>
      <c r="D17" s="69">
        <v>1007.2</v>
      </c>
      <c r="E17" s="69">
        <v>19.5</v>
      </c>
      <c r="F17" s="69">
        <v>89</v>
      </c>
      <c r="G17" s="70" t="s">
        <v>140</v>
      </c>
      <c r="H17" s="69">
        <v>1.1</v>
      </c>
      <c r="I17" s="69">
        <v>1.5</v>
      </c>
      <c r="J17" s="69" t="s">
        <v>132</v>
      </c>
      <c r="K17" s="69"/>
      <c r="L17" s="69" t="s">
        <v>132</v>
      </c>
      <c r="M17" s="69" t="s">
        <v>132</v>
      </c>
      <c r="N17" s="65">
        <f t="shared" si="0"/>
        <v>17.640185156130087</v>
      </c>
      <c r="O17" s="65">
        <f t="shared" si="1"/>
        <v>1.8598148438699127</v>
      </c>
      <c r="P17" s="66">
        <f t="shared" si="2"/>
        <v>18.570092578065044</v>
      </c>
      <c r="Q17" s="65">
        <f t="shared" si="3"/>
        <v>326.8073220554913</v>
      </c>
      <c r="R17" s="66">
        <f t="shared" si="4"/>
        <v>12.885051785181746</v>
      </c>
      <c r="S17" s="67">
        <f t="shared" si="10"/>
        <v>-2.5</v>
      </c>
      <c r="T17" s="67">
        <f t="shared" si="5"/>
        <v>-1.1999999999999318</v>
      </c>
      <c r="U17" s="67">
        <f t="shared" si="6"/>
        <v>-0.07845403268419204</v>
      </c>
      <c r="V17" s="67">
        <f t="shared" si="7"/>
        <v>0.10000000000000142</v>
      </c>
      <c r="W17" s="67">
        <f t="shared" si="8"/>
        <v>0.11877369589296904</v>
      </c>
      <c r="X17">
        <f t="shared" si="9"/>
        <v>315</v>
      </c>
    </row>
    <row r="18" spans="1:24" ht="13.5">
      <c r="A18" s="14">
        <v>27</v>
      </c>
      <c r="B18" s="73">
        <v>13</v>
      </c>
      <c r="C18" s="69">
        <v>1002.1</v>
      </c>
      <c r="D18" s="69">
        <v>1005.8</v>
      </c>
      <c r="E18" s="69">
        <v>19.5</v>
      </c>
      <c r="F18" s="69">
        <v>92</v>
      </c>
      <c r="G18" s="70" t="s">
        <v>135</v>
      </c>
      <c r="H18" s="69">
        <v>1.8</v>
      </c>
      <c r="I18" s="69">
        <v>1</v>
      </c>
      <c r="J18" s="69" t="s">
        <v>132</v>
      </c>
      <c r="K18" s="69"/>
      <c r="L18" s="69" t="s">
        <v>132</v>
      </c>
      <c r="M18" s="69" t="s">
        <v>132</v>
      </c>
      <c r="N18" s="65">
        <f t="shared" si="0"/>
        <v>18.16659344885045</v>
      </c>
      <c r="O18" s="65">
        <f t="shared" si="1"/>
        <v>1.333406551149551</v>
      </c>
      <c r="P18" s="66">
        <f t="shared" si="2"/>
        <v>18.833296724425225</v>
      </c>
      <c r="Q18" s="65">
        <f t="shared" si="3"/>
        <v>328.11343607678384</v>
      </c>
      <c r="R18" s="66">
        <f t="shared" si="4"/>
        <v>13.355006206428229</v>
      </c>
      <c r="S18" s="67">
        <f t="shared" si="10"/>
        <v>-3.400000000000091</v>
      </c>
      <c r="T18" s="67">
        <f t="shared" si="5"/>
        <v>-1.400000000000091</v>
      </c>
      <c r="U18" s="67">
        <f t="shared" si="6"/>
        <v>0.5264082927203617</v>
      </c>
      <c r="V18" s="67">
        <f t="shared" si="7"/>
        <v>0</v>
      </c>
      <c r="W18" s="67">
        <f t="shared" si="8"/>
        <v>1.306114021292558</v>
      </c>
      <c r="X18">
        <f t="shared" si="9"/>
        <v>337.5</v>
      </c>
    </row>
    <row r="19" spans="1:24" ht="13.5">
      <c r="A19" s="14">
        <v>27</v>
      </c>
      <c r="B19" s="73">
        <v>14</v>
      </c>
      <c r="C19" s="69">
        <v>1001.7</v>
      </c>
      <c r="D19" s="69">
        <v>1005.4</v>
      </c>
      <c r="E19" s="69">
        <v>20.8</v>
      </c>
      <c r="F19" s="69">
        <v>88</v>
      </c>
      <c r="G19" s="70" t="s">
        <v>140</v>
      </c>
      <c r="H19" s="69">
        <v>1.6</v>
      </c>
      <c r="I19" s="69">
        <v>0</v>
      </c>
      <c r="J19" s="69" t="s">
        <v>132</v>
      </c>
      <c r="K19" s="69"/>
      <c r="L19" s="69" t="s">
        <v>132</v>
      </c>
      <c r="M19" s="69" t="s">
        <v>132</v>
      </c>
      <c r="N19" s="65">
        <f t="shared" si="0"/>
        <v>18.7411226010546</v>
      </c>
      <c r="O19" s="65">
        <f t="shared" si="1"/>
        <v>2.058877398945402</v>
      </c>
      <c r="P19" s="66">
        <f t="shared" si="2"/>
        <v>19.770561300527298</v>
      </c>
      <c r="Q19" s="65">
        <f t="shared" si="3"/>
        <v>331.12382355780903</v>
      </c>
      <c r="R19" s="66">
        <f t="shared" si="4"/>
        <v>13.870011298946494</v>
      </c>
      <c r="S19" s="67">
        <f t="shared" si="10"/>
        <v>-3</v>
      </c>
      <c r="T19" s="67">
        <f t="shared" si="5"/>
        <v>-0.39999999999997726</v>
      </c>
      <c r="U19" s="67">
        <f t="shared" si="6"/>
        <v>0.5745291522041498</v>
      </c>
      <c r="V19" s="67">
        <f t="shared" si="7"/>
        <v>1.3000000000000007</v>
      </c>
      <c r="W19" s="67">
        <f t="shared" si="8"/>
        <v>3.010387481025191</v>
      </c>
      <c r="X19">
        <f t="shared" si="9"/>
        <v>315</v>
      </c>
    </row>
    <row r="20" spans="1:24" ht="13.5">
      <c r="A20" s="14">
        <v>27</v>
      </c>
      <c r="B20" s="73">
        <v>15</v>
      </c>
      <c r="C20" s="69">
        <v>1001.2</v>
      </c>
      <c r="D20" s="69">
        <v>1004.8</v>
      </c>
      <c r="E20" s="69">
        <v>23.6</v>
      </c>
      <c r="F20" s="69">
        <v>74</v>
      </c>
      <c r="G20" s="70" t="s">
        <v>140</v>
      </c>
      <c r="H20" s="69">
        <v>2.3</v>
      </c>
      <c r="I20" s="69" t="s">
        <v>132</v>
      </c>
      <c r="J20" s="69">
        <v>0.7</v>
      </c>
      <c r="K20" s="69"/>
      <c r="L20" s="69" t="s">
        <v>132</v>
      </c>
      <c r="M20" s="69" t="s">
        <v>132</v>
      </c>
      <c r="N20" s="65">
        <f t="shared" si="0"/>
        <v>18.699813029018742</v>
      </c>
      <c r="O20" s="65">
        <f t="shared" si="1"/>
        <v>4.9001869709812595</v>
      </c>
      <c r="P20" s="66">
        <f t="shared" si="2"/>
        <v>21.14990651450937</v>
      </c>
      <c r="Q20" s="65">
        <f t="shared" si="3"/>
        <v>334.7506725048924</v>
      </c>
      <c r="R20" s="66">
        <f t="shared" si="4"/>
        <v>13.83984943084934</v>
      </c>
      <c r="S20" s="67">
        <f t="shared" si="10"/>
        <v>-2.400000000000091</v>
      </c>
      <c r="T20" s="67">
        <f t="shared" si="5"/>
        <v>-0.6000000000000227</v>
      </c>
      <c r="U20" s="67">
        <f t="shared" si="6"/>
        <v>-0.041309572035856945</v>
      </c>
      <c r="V20" s="67">
        <f t="shared" si="7"/>
        <v>2.8000000000000007</v>
      </c>
      <c r="W20" s="67">
        <f t="shared" si="8"/>
        <v>3.6268489470833742</v>
      </c>
      <c r="X20">
        <f t="shared" si="9"/>
        <v>315</v>
      </c>
    </row>
    <row r="21" spans="1:24" ht="13.5">
      <c r="A21" s="14">
        <v>27</v>
      </c>
      <c r="B21" s="73">
        <v>16</v>
      </c>
      <c r="C21" s="69">
        <v>1001.1</v>
      </c>
      <c r="D21" s="69">
        <v>1004.7</v>
      </c>
      <c r="E21" s="69">
        <v>24.2</v>
      </c>
      <c r="F21" s="69">
        <v>69</v>
      </c>
      <c r="G21" s="70" t="s">
        <v>135</v>
      </c>
      <c r="H21" s="69">
        <v>1.9</v>
      </c>
      <c r="I21" s="69" t="s">
        <v>132</v>
      </c>
      <c r="J21" s="69">
        <v>1</v>
      </c>
      <c r="K21" s="69"/>
      <c r="L21" s="69" t="s">
        <v>132</v>
      </c>
      <c r="M21" s="69" t="s">
        <v>132</v>
      </c>
      <c r="N21" s="65">
        <f t="shared" si="0"/>
        <v>18.160197065510033</v>
      </c>
      <c r="O21" s="65">
        <f t="shared" si="1"/>
        <v>6.039802934489966</v>
      </c>
      <c r="P21" s="66">
        <f t="shared" si="2"/>
        <v>21.180098532755018</v>
      </c>
      <c r="Q21" s="65">
        <f t="shared" si="3"/>
        <v>334.3040616362952</v>
      </c>
      <c r="R21" s="66">
        <f t="shared" si="4"/>
        <v>13.363054556111575</v>
      </c>
      <c r="S21" s="67">
        <f t="shared" si="10"/>
        <v>-1.099999999999909</v>
      </c>
      <c r="T21" s="67">
        <f t="shared" si="5"/>
        <v>-0.09999999999990905</v>
      </c>
      <c r="U21" s="67">
        <f t="shared" si="6"/>
        <v>-0.5396159635087088</v>
      </c>
      <c r="V21" s="67">
        <f t="shared" si="7"/>
        <v>0.5999999999999979</v>
      </c>
      <c r="W21" s="67">
        <f t="shared" si="8"/>
        <v>-0.44661086859719035</v>
      </c>
      <c r="X21">
        <f t="shared" si="9"/>
        <v>337.5</v>
      </c>
    </row>
    <row r="22" spans="1:24" ht="13.5">
      <c r="A22" s="14">
        <v>27</v>
      </c>
      <c r="B22" s="73">
        <v>17</v>
      </c>
      <c r="C22" s="69">
        <v>1001.2</v>
      </c>
      <c r="D22" s="69">
        <v>1004.9</v>
      </c>
      <c r="E22" s="69">
        <v>22.8</v>
      </c>
      <c r="F22" s="69">
        <v>77</v>
      </c>
      <c r="G22" s="70" t="s">
        <v>139</v>
      </c>
      <c r="H22" s="69">
        <v>0.7</v>
      </c>
      <c r="I22" s="69" t="s">
        <v>132</v>
      </c>
      <c r="J22" s="69">
        <v>0.7</v>
      </c>
      <c r="K22" s="69"/>
      <c r="L22" s="69" t="s">
        <v>132</v>
      </c>
      <c r="M22" s="69" t="s">
        <v>132</v>
      </c>
      <c r="N22" s="65">
        <f t="shared" si="0"/>
        <v>18.561523782093218</v>
      </c>
      <c r="O22" s="65">
        <f t="shared" si="1"/>
        <v>4.238476217906783</v>
      </c>
      <c r="P22" s="66">
        <f t="shared" si="2"/>
        <v>20.680761891046608</v>
      </c>
      <c r="Q22" s="65">
        <f t="shared" si="3"/>
        <v>333.38769089642506</v>
      </c>
      <c r="R22" s="66">
        <f t="shared" si="4"/>
        <v>13.715838795075113</v>
      </c>
      <c r="S22" s="67">
        <f t="shared" si="10"/>
        <v>-0.5</v>
      </c>
      <c r="T22" s="67">
        <f t="shared" si="5"/>
        <v>0.1999999999999318</v>
      </c>
      <c r="U22" s="67">
        <f t="shared" si="6"/>
        <v>0.40132671658318486</v>
      </c>
      <c r="V22" s="67">
        <f t="shared" si="7"/>
        <v>-1.3999999999999986</v>
      </c>
      <c r="W22" s="67">
        <f t="shared" si="8"/>
        <v>-0.9163707398701604</v>
      </c>
      <c r="X22">
        <f t="shared" si="9"/>
        <v>270</v>
      </c>
    </row>
    <row r="23" spans="1:24" ht="13.5">
      <c r="A23" s="14">
        <v>27</v>
      </c>
      <c r="B23" s="73">
        <v>18</v>
      </c>
      <c r="C23" s="69">
        <v>1001.6</v>
      </c>
      <c r="D23" s="69">
        <v>1005.3</v>
      </c>
      <c r="E23" s="69">
        <v>22.6</v>
      </c>
      <c r="F23" s="69">
        <v>74</v>
      </c>
      <c r="G23" s="70" t="s">
        <v>134</v>
      </c>
      <c r="H23" s="69">
        <v>1.6</v>
      </c>
      <c r="I23" s="69" t="s">
        <v>132</v>
      </c>
      <c r="J23" s="69">
        <v>0.1</v>
      </c>
      <c r="K23" s="69"/>
      <c r="L23" s="69" t="s">
        <v>132</v>
      </c>
      <c r="M23" s="69" t="s">
        <v>132</v>
      </c>
      <c r="N23" s="65">
        <f t="shared" si="0"/>
        <v>17.736102042573634</v>
      </c>
      <c r="O23" s="65">
        <f t="shared" si="1"/>
        <v>4.863897957426367</v>
      </c>
      <c r="P23" s="66">
        <f t="shared" si="2"/>
        <v>20.168051021286818</v>
      </c>
      <c r="Q23" s="65">
        <f t="shared" si="3"/>
        <v>331.22936523278</v>
      </c>
      <c r="R23" s="66">
        <f t="shared" si="4"/>
        <v>12.99126992561216</v>
      </c>
      <c r="S23" s="67">
        <f t="shared" si="10"/>
        <v>0.5</v>
      </c>
      <c r="T23" s="67">
        <f t="shared" si="5"/>
        <v>0.39999999999997726</v>
      </c>
      <c r="U23" s="67">
        <f t="shared" si="6"/>
        <v>-0.8254217395195838</v>
      </c>
      <c r="V23" s="67">
        <f t="shared" si="7"/>
        <v>-0.1999999999999993</v>
      </c>
      <c r="W23" s="67">
        <f t="shared" si="8"/>
        <v>-2.15832566364503</v>
      </c>
      <c r="X23">
        <f t="shared" si="9"/>
        <v>225</v>
      </c>
    </row>
    <row r="24" spans="1:24" ht="13.5">
      <c r="A24" s="14">
        <v>27</v>
      </c>
      <c r="B24" s="73">
        <v>19</v>
      </c>
      <c r="C24" s="69">
        <v>1002.4</v>
      </c>
      <c r="D24" s="69">
        <v>1006.1</v>
      </c>
      <c r="E24" s="69">
        <v>22.4</v>
      </c>
      <c r="F24" s="69">
        <v>64</v>
      </c>
      <c r="G24" s="70" t="s">
        <v>139</v>
      </c>
      <c r="H24" s="69">
        <v>2.9</v>
      </c>
      <c r="I24" s="69" t="s">
        <v>132</v>
      </c>
      <c r="J24" s="69"/>
      <c r="K24" s="69"/>
      <c r="L24" s="69" t="s">
        <v>132</v>
      </c>
      <c r="M24" s="69" t="s">
        <v>132</v>
      </c>
      <c r="N24" s="65">
        <f t="shared" si="0"/>
        <v>15.264480131553682</v>
      </c>
      <c r="O24" s="65">
        <f t="shared" si="1"/>
        <v>7.135519868446316</v>
      </c>
      <c r="P24" s="66">
        <f t="shared" si="2"/>
        <v>18.83224006577684</v>
      </c>
      <c r="Q24" s="65">
        <f t="shared" si="3"/>
        <v>325.841015765246</v>
      </c>
      <c r="R24" s="66">
        <f t="shared" si="4"/>
        <v>11.030642844435297</v>
      </c>
      <c r="S24" s="67">
        <f t="shared" si="10"/>
        <v>1.3999999999999773</v>
      </c>
      <c r="T24" s="67">
        <f t="shared" si="5"/>
        <v>0.8000000000000682</v>
      </c>
      <c r="U24" s="67">
        <f t="shared" si="6"/>
        <v>-2.4716219110199518</v>
      </c>
      <c r="V24" s="67">
        <f t="shared" si="7"/>
        <v>-0.20000000000000284</v>
      </c>
      <c r="W24" s="67">
        <f t="shared" si="8"/>
        <v>-5.388349467533999</v>
      </c>
      <c r="X24">
        <f t="shared" si="9"/>
        <v>270</v>
      </c>
    </row>
    <row r="25" spans="1:24" ht="13.5">
      <c r="A25" s="14">
        <v>27</v>
      </c>
      <c r="B25" s="73">
        <v>20</v>
      </c>
      <c r="C25" s="69">
        <v>1003.3</v>
      </c>
      <c r="D25" s="69">
        <v>1007</v>
      </c>
      <c r="E25" s="69">
        <v>21.7</v>
      </c>
      <c r="F25" s="69">
        <v>68</v>
      </c>
      <c r="G25" s="70" t="s">
        <v>139</v>
      </c>
      <c r="H25" s="69">
        <v>2.9</v>
      </c>
      <c r="I25" s="69" t="s">
        <v>132</v>
      </c>
      <c r="J25" s="69"/>
      <c r="K25" s="69"/>
      <c r="L25" s="69" t="s">
        <v>132</v>
      </c>
      <c r="M25" s="69" t="s">
        <v>132</v>
      </c>
      <c r="N25" s="65">
        <f t="shared" si="0"/>
        <v>15.543389082547037</v>
      </c>
      <c r="O25" s="65">
        <f t="shared" si="1"/>
        <v>6.156610917452962</v>
      </c>
      <c r="P25" s="66">
        <f t="shared" si="2"/>
        <v>18.62169454127352</v>
      </c>
      <c r="Q25" s="65">
        <f t="shared" si="3"/>
        <v>325.39414211956523</v>
      </c>
      <c r="R25" s="66">
        <f t="shared" si="4"/>
        <v>11.226170638154613</v>
      </c>
      <c r="S25" s="67">
        <f t="shared" si="10"/>
        <v>2.1000000000000227</v>
      </c>
      <c r="T25" s="67">
        <f t="shared" si="5"/>
        <v>0.8999999999999773</v>
      </c>
      <c r="U25" s="67">
        <f t="shared" si="6"/>
        <v>0.27890895099335467</v>
      </c>
      <c r="V25" s="67">
        <f t="shared" si="7"/>
        <v>-0.6999999999999993</v>
      </c>
      <c r="W25" s="67">
        <f t="shared" si="8"/>
        <v>-0.446873645680796</v>
      </c>
      <c r="X25">
        <f t="shared" si="9"/>
        <v>270</v>
      </c>
    </row>
    <row r="26" spans="1:24" ht="13.5">
      <c r="A26" s="14">
        <v>27</v>
      </c>
      <c r="B26" s="73">
        <v>21</v>
      </c>
      <c r="C26" s="69">
        <v>1004</v>
      </c>
      <c r="D26" s="69">
        <v>1007.7</v>
      </c>
      <c r="E26" s="69">
        <v>21.4</v>
      </c>
      <c r="F26" s="69">
        <v>79</v>
      </c>
      <c r="G26" s="70" t="s">
        <v>141</v>
      </c>
      <c r="H26" s="69">
        <v>3.5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17.611244763505</v>
      </c>
      <c r="O26" s="65">
        <f t="shared" si="1"/>
        <v>3.7887552364949997</v>
      </c>
      <c r="P26" s="66">
        <f t="shared" si="2"/>
        <v>19.5056223817525</v>
      </c>
      <c r="Q26" s="65">
        <f t="shared" si="3"/>
        <v>329.1064110732506</v>
      </c>
      <c r="R26" s="66">
        <f t="shared" si="4"/>
        <v>12.854133838098612</v>
      </c>
      <c r="S26" s="67">
        <f t="shared" si="10"/>
        <v>2.400000000000091</v>
      </c>
      <c r="T26" s="67">
        <f t="shared" si="5"/>
        <v>0.7000000000000455</v>
      </c>
      <c r="U26" s="67">
        <f t="shared" si="6"/>
        <v>2.067855680957962</v>
      </c>
      <c r="V26" s="67">
        <f t="shared" si="7"/>
        <v>-0.3000000000000007</v>
      </c>
      <c r="W26" s="67">
        <f t="shared" si="8"/>
        <v>3.7122689536853954</v>
      </c>
      <c r="X26">
        <f t="shared" si="9"/>
        <v>247.5</v>
      </c>
    </row>
    <row r="27" spans="1:24" ht="13.5">
      <c r="A27" s="14">
        <v>27</v>
      </c>
      <c r="B27" s="73">
        <v>22</v>
      </c>
      <c r="C27" s="69">
        <v>1004.3</v>
      </c>
      <c r="D27" s="69">
        <v>1008</v>
      </c>
      <c r="E27" s="69">
        <v>21.1</v>
      </c>
      <c r="F27" s="69">
        <v>76</v>
      </c>
      <c r="G27" s="70" t="s">
        <v>139</v>
      </c>
      <c r="H27" s="69">
        <v>2.3</v>
      </c>
      <c r="I27" s="69" t="s">
        <v>132</v>
      </c>
      <c r="J27" s="69"/>
      <c r="K27" s="69"/>
      <c r="L27" s="69" t="s">
        <v>132</v>
      </c>
      <c r="M27" s="69" t="s">
        <v>132</v>
      </c>
      <c r="N27" s="65">
        <f t="shared" si="0"/>
        <v>16.7092046202128</v>
      </c>
      <c r="O27" s="65">
        <f t="shared" si="1"/>
        <v>4.3907953797872</v>
      </c>
      <c r="P27" s="66">
        <f t="shared" si="2"/>
        <v>18.9046023101064</v>
      </c>
      <c r="Q27" s="65">
        <f t="shared" si="3"/>
        <v>326.81182650023794</v>
      </c>
      <c r="R27" s="66">
        <f t="shared" si="4"/>
        <v>12.111734049651021</v>
      </c>
      <c r="S27" s="67">
        <f t="shared" si="10"/>
        <v>1.8999999999999773</v>
      </c>
      <c r="T27" s="68">
        <f t="shared" si="5"/>
        <v>0.2999999999999545</v>
      </c>
      <c r="U27" s="68">
        <f t="shared" si="6"/>
        <v>-0.9020401432921972</v>
      </c>
      <c r="V27" s="68">
        <f t="shared" si="7"/>
        <v>-0.29999999999999716</v>
      </c>
      <c r="W27" s="67">
        <f t="shared" si="8"/>
        <v>-2.294584573012685</v>
      </c>
      <c r="X27">
        <f t="shared" si="9"/>
        <v>270</v>
      </c>
    </row>
    <row r="28" spans="1:24" ht="13.5">
      <c r="A28" s="14">
        <v>27</v>
      </c>
      <c r="B28" s="73">
        <v>23</v>
      </c>
      <c r="C28" s="69">
        <v>1004.3</v>
      </c>
      <c r="D28" s="69">
        <v>1008</v>
      </c>
      <c r="E28" s="69">
        <v>19.8</v>
      </c>
      <c r="F28" s="69">
        <v>82</v>
      </c>
      <c r="G28" s="70" t="s">
        <v>142</v>
      </c>
      <c r="H28" s="69">
        <v>2</v>
      </c>
      <c r="I28" s="69" t="s">
        <v>132</v>
      </c>
      <c r="J28" s="69"/>
      <c r="K28" s="69"/>
      <c r="L28" s="69" t="s">
        <v>132</v>
      </c>
      <c r="M28" s="69" t="s">
        <v>132</v>
      </c>
      <c r="N28" s="65">
        <f t="shared" si="0"/>
        <v>16.64134867022483</v>
      </c>
      <c r="O28" s="65">
        <f t="shared" si="1"/>
        <v>3.1586513297751715</v>
      </c>
      <c r="P28" s="66">
        <f t="shared" si="2"/>
        <v>18.220674335112413</v>
      </c>
      <c r="Q28" s="65">
        <f t="shared" si="3"/>
        <v>325.04151030063974</v>
      </c>
      <c r="R28" s="66">
        <f t="shared" si="4"/>
        <v>12.057783130827268</v>
      </c>
      <c r="S28" s="67">
        <f t="shared" si="10"/>
        <v>1</v>
      </c>
      <c r="T28" s="68">
        <f t="shared" si="5"/>
        <v>0</v>
      </c>
      <c r="U28" s="68">
        <f t="shared" si="6"/>
        <v>-0.06785594998797251</v>
      </c>
      <c r="V28" s="68">
        <f t="shared" si="7"/>
        <v>-1.3000000000000007</v>
      </c>
      <c r="W28" s="67">
        <f t="shared" si="8"/>
        <v>-1.7703161995981986</v>
      </c>
      <c r="X28">
        <f t="shared" si="9"/>
        <v>292.5</v>
      </c>
    </row>
    <row r="29" spans="1:24" ht="13.5">
      <c r="A29" s="14">
        <v>27</v>
      </c>
      <c r="B29" s="73">
        <v>24</v>
      </c>
      <c r="C29" s="69">
        <v>1004.5</v>
      </c>
      <c r="D29" s="69">
        <v>1008.2</v>
      </c>
      <c r="E29" s="69">
        <v>18.9</v>
      </c>
      <c r="F29" s="69">
        <v>88</v>
      </c>
      <c r="G29" s="70" t="s">
        <v>139</v>
      </c>
      <c r="H29" s="69">
        <v>2.3</v>
      </c>
      <c r="I29" s="69" t="s">
        <v>132</v>
      </c>
      <c r="J29" s="69"/>
      <c r="K29" s="69"/>
      <c r="L29" s="69" t="s">
        <v>132</v>
      </c>
      <c r="M29" s="69" t="s">
        <v>132</v>
      </c>
      <c r="N29" s="65">
        <f t="shared" si="0"/>
        <v>16.870504266598857</v>
      </c>
      <c r="O29" s="65">
        <f t="shared" si="1"/>
        <v>2.0294957334011414</v>
      </c>
      <c r="P29" s="66">
        <f t="shared" si="2"/>
        <v>17.885252133299428</v>
      </c>
      <c r="Q29" s="65">
        <f t="shared" si="3"/>
        <v>324.341688892818</v>
      </c>
      <c r="R29" s="66">
        <f t="shared" si="4"/>
        <v>12.238382043855845</v>
      </c>
      <c r="S29" s="67">
        <f t="shared" si="10"/>
        <v>0.5</v>
      </c>
      <c r="T29" s="68">
        <f t="shared" si="5"/>
        <v>0.20000000000004547</v>
      </c>
      <c r="U29" s="68">
        <f t="shared" si="6"/>
        <v>0.22915559637402794</v>
      </c>
      <c r="V29" s="68">
        <f t="shared" si="7"/>
        <v>-0.9000000000000021</v>
      </c>
      <c r="W29" s="67">
        <f t="shared" si="8"/>
        <v>-0.6998214078217302</v>
      </c>
      <c r="X29">
        <f t="shared" si="9"/>
        <v>270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29"/>
  <sheetViews>
    <sheetView workbookViewId="0" topLeftCell="Y1">
      <selection activeCell="AE1" sqref="AE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東京</v>
      </c>
    </row>
    <row r="2" ht="17.25" customHeight="1">
      <c r="B2" t="s">
        <v>153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150</v>
      </c>
      <c r="M4" s="59" t="s">
        <v>150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1007.1</v>
      </c>
      <c r="D6" s="69">
        <v>1011.4</v>
      </c>
      <c r="E6" s="69">
        <v>17.1</v>
      </c>
      <c r="F6" s="69">
        <v>87</v>
      </c>
      <c r="G6" s="70" t="s">
        <v>135</v>
      </c>
      <c r="H6" s="69">
        <v>6.7</v>
      </c>
      <c r="I6" s="69">
        <v>0.5</v>
      </c>
      <c r="J6" s="69"/>
      <c r="K6" s="69"/>
      <c r="L6" s="69" t="s">
        <v>132</v>
      </c>
      <c r="M6" s="69" t="s">
        <v>132</v>
      </c>
      <c r="N6" s="65">
        <f aca="true" t="shared" si="0" ref="N6:N29">4303.4/(19.482-LN(EXP(19.482-4303.4/(E6+243.5))*F6/100))-243.5</f>
        <v>14.920671071508366</v>
      </c>
      <c r="O6" s="65">
        <f aca="true" t="shared" si="1" ref="O6:O29">E6-N6</f>
        <v>2.1793289284916355</v>
      </c>
      <c r="P6" s="66">
        <f aca="true" t="shared" si="2" ref="P6:P29">(E6+N6)/2</f>
        <v>16.010335535754184</v>
      </c>
      <c r="Q6" s="65">
        <f aca="true" t="shared" si="3" ref="Q6:Q29">EPT(E6,F6,C6)</f>
        <v>318.1349039078639</v>
      </c>
      <c r="R6" s="66">
        <f aca="true" t="shared" si="4" ref="R6:R29">q(E6,F6,C6)</f>
        <v>10.730519685169511</v>
      </c>
      <c r="S6" s="67"/>
      <c r="T6" s="67"/>
      <c r="U6" s="67"/>
      <c r="V6" s="67"/>
      <c r="W6" s="14"/>
      <c r="X6">
        <f aca="true" t="shared" si="5" ref="X6:X29">fuukou_get(G6)</f>
        <v>337.5</v>
      </c>
    </row>
    <row r="7" spans="1:24" ht="13.5">
      <c r="A7" s="14">
        <v>27</v>
      </c>
      <c r="B7" s="73">
        <v>2</v>
      </c>
      <c r="C7" s="69">
        <v>1006</v>
      </c>
      <c r="D7" s="69">
        <v>1010.3</v>
      </c>
      <c r="E7" s="69">
        <v>17.4</v>
      </c>
      <c r="F7" s="69">
        <v>87</v>
      </c>
      <c r="G7" s="70" t="s">
        <v>135</v>
      </c>
      <c r="H7" s="69">
        <v>4.7</v>
      </c>
      <c r="I7" s="69" t="s">
        <v>132</v>
      </c>
      <c r="J7" s="69"/>
      <c r="K7" s="69"/>
      <c r="L7" s="69" t="s">
        <v>132</v>
      </c>
      <c r="M7" s="69" t="s">
        <v>132</v>
      </c>
      <c r="N7" s="65">
        <f t="shared" si="0"/>
        <v>15.215671570683696</v>
      </c>
      <c r="O7" s="65">
        <f t="shared" si="1"/>
        <v>2.1843284293163023</v>
      </c>
      <c r="P7" s="66">
        <f t="shared" si="2"/>
        <v>16.307835785341847</v>
      </c>
      <c r="Q7" s="65">
        <f t="shared" si="3"/>
        <v>319.15837848137613</v>
      </c>
      <c r="R7" s="66">
        <f t="shared" si="4"/>
        <v>10.954947063883791</v>
      </c>
      <c r="S7" s="67"/>
      <c r="T7" s="67">
        <f aca="true" t="shared" si="6" ref="T7:T29">D7-D6</f>
        <v>-1.1000000000000227</v>
      </c>
      <c r="U7" s="67">
        <f aca="true" t="shared" si="7" ref="U7:U29">N7-N6</f>
        <v>0.29500049917533033</v>
      </c>
      <c r="V7" s="67">
        <f aca="true" t="shared" si="8" ref="V7:V29">E7-E6</f>
        <v>0.29999999999999716</v>
      </c>
      <c r="W7" s="67">
        <f aca="true" t="shared" si="9" ref="W7:W29">Q7-Q6</f>
        <v>1.0234745735122601</v>
      </c>
      <c r="X7">
        <f t="shared" si="5"/>
        <v>337.5</v>
      </c>
    </row>
    <row r="8" spans="1:24" ht="13.5">
      <c r="A8" s="14">
        <v>27</v>
      </c>
      <c r="B8" s="73">
        <v>3</v>
      </c>
      <c r="C8" s="69">
        <v>1006.2</v>
      </c>
      <c r="D8" s="69">
        <v>1010.5</v>
      </c>
      <c r="E8" s="69">
        <v>17.6</v>
      </c>
      <c r="F8" s="69">
        <v>87</v>
      </c>
      <c r="G8" s="70" t="s">
        <v>140</v>
      </c>
      <c r="H8" s="69">
        <v>3.7</v>
      </c>
      <c r="I8" s="69" t="s">
        <v>132</v>
      </c>
      <c r="J8" s="69"/>
      <c r="K8" s="69"/>
      <c r="L8" s="69" t="s">
        <v>132</v>
      </c>
      <c r="M8" s="69" t="s">
        <v>132</v>
      </c>
      <c r="N8" s="65">
        <f t="shared" si="0"/>
        <v>15.412335414631741</v>
      </c>
      <c r="O8" s="65">
        <f t="shared" si="1"/>
        <v>2.1876645853682604</v>
      </c>
      <c r="P8" s="66">
        <f t="shared" si="2"/>
        <v>16.50616770731587</v>
      </c>
      <c r="Q8" s="65">
        <f t="shared" si="3"/>
        <v>319.7344333762465</v>
      </c>
      <c r="R8" s="66">
        <f t="shared" si="4"/>
        <v>11.096484244200717</v>
      </c>
      <c r="S8" s="67"/>
      <c r="T8" s="67">
        <f t="shared" si="6"/>
        <v>0.20000000000004547</v>
      </c>
      <c r="U8" s="67">
        <f t="shared" si="7"/>
        <v>0.19666384394804481</v>
      </c>
      <c r="V8" s="67">
        <f t="shared" si="8"/>
        <v>0.20000000000000284</v>
      </c>
      <c r="W8" s="67">
        <f t="shared" si="9"/>
        <v>0.5760548948703672</v>
      </c>
      <c r="X8">
        <f t="shared" si="5"/>
        <v>315</v>
      </c>
    </row>
    <row r="9" spans="1:24" ht="13.5">
      <c r="A9" s="14">
        <v>27</v>
      </c>
      <c r="B9" s="73">
        <v>4</v>
      </c>
      <c r="C9" s="69">
        <v>1005.1</v>
      </c>
      <c r="D9" s="69">
        <v>1009.4</v>
      </c>
      <c r="E9" s="69">
        <v>17.9</v>
      </c>
      <c r="F9" s="69">
        <v>85</v>
      </c>
      <c r="G9" s="70" t="s">
        <v>135</v>
      </c>
      <c r="H9" s="69">
        <v>4.5</v>
      </c>
      <c r="I9" s="69">
        <v>0</v>
      </c>
      <c r="J9" s="69"/>
      <c r="K9" s="69"/>
      <c r="L9" s="69" t="s">
        <v>132</v>
      </c>
      <c r="M9" s="69" t="s">
        <v>132</v>
      </c>
      <c r="N9" s="65">
        <f t="shared" si="0"/>
        <v>15.344727950131244</v>
      </c>
      <c r="O9" s="65">
        <f t="shared" si="1"/>
        <v>2.555272049868755</v>
      </c>
      <c r="P9" s="66">
        <f t="shared" si="2"/>
        <v>16.62236397506562</v>
      </c>
      <c r="Q9" s="65">
        <f t="shared" si="3"/>
        <v>320.1147100930828</v>
      </c>
      <c r="R9" s="66">
        <f t="shared" si="4"/>
        <v>11.059177767906945</v>
      </c>
      <c r="S9" s="67">
        <f aca="true" t="shared" si="10" ref="S9:S29">D9-D6</f>
        <v>-2</v>
      </c>
      <c r="T9" s="67">
        <f t="shared" si="6"/>
        <v>-1.1000000000000227</v>
      </c>
      <c r="U9" s="67">
        <f t="shared" si="7"/>
        <v>-0.06760746450049737</v>
      </c>
      <c r="V9" s="67">
        <f t="shared" si="8"/>
        <v>0.29999999999999716</v>
      </c>
      <c r="W9" s="67">
        <f t="shared" si="9"/>
        <v>0.38027671683630615</v>
      </c>
      <c r="X9">
        <f t="shared" si="5"/>
        <v>337.5</v>
      </c>
    </row>
    <row r="10" spans="1:24" ht="13.5">
      <c r="A10" s="14">
        <v>27</v>
      </c>
      <c r="B10" s="73">
        <v>5</v>
      </c>
      <c r="C10" s="69">
        <v>1004.8</v>
      </c>
      <c r="D10" s="69">
        <v>1009.1</v>
      </c>
      <c r="E10" s="69">
        <v>18.2</v>
      </c>
      <c r="F10" s="69">
        <v>84</v>
      </c>
      <c r="G10" s="70" t="s">
        <v>140</v>
      </c>
      <c r="H10" s="69">
        <v>3.8</v>
      </c>
      <c r="I10" s="69" t="s">
        <v>132</v>
      </c>
      <c r="J10" s="69"/>
      <c r="K10" s="69"/>
      <c r="L10" s="69" t="s">
        <v>132</v>
      </c>
      <c r="M10" s="69" t="s">
        <v>132</v>
      </c>
      <c r="N10" s="65">
        <f t="shared" si="0"/>
        <v>15.45434729924898</v>
      </c>
      <c r="O10" s="65">
        <f t="shared" si="1"/>
        <v>2.7456527007510196</v>
      </c>
      <c r="P10" s="66">
        <f t="shared" si="2"/>
        <v>16.82717364962449</v>
      </c>
      <c r="Q10" s="65">
        <f t="shared" si="3"/>
        <v>320.7206744155041</v>
      </c>
      <c r="R10" s="66">
        <f t="shared" si="4"/>
        <v>11.143197276223956</v>
      </c>
      <c r="S10" s="67">
        <f t="shared" si="10"/>
        <v>-1.1999999999999318</v>
      </c>
      <c r="T10" s="67">
        <f t="shared" si="6"/>
        <v>-0.2999999999999545</v>
      </c>
      <c r="U10" s="67">
        <f t="shared" si="7"/>
        <v>0.10961934911773596</v>
      </c>
      <c r="V10" s="67">
        <f t="shared" si="8"/>
        <v>0.3000000000000007</v>
      </c>
      <c r="W10" s="67">
        <f t="shared" si="9"/>
        <v>0.6059643224213005</v>
      </c>
      <c r="X10">
        <f t="shared" si="5"/>
        <v>315</v>
      </c>
    </row>
    <row r="11" spans="1:24" ht="13.5">
      <c r="A11" s="14">
        <v>27</v>
      </c>
      <c r="B11" s="73">
        <v>6</v>
      </c>
      <c r="C11" s="69">
        <v>1005.1</v>
      </c>
      <c r="D11" s="69">
        <v>1009.4</v>
      </c>
      <c r="E11" s="69">
        <v>18.6</v>
      </c>
      <c r="F11" s="69">
        <v>83</v>
      </c>
      <c r="G11" s="70" t="s">
        <v>135</v>
      </c>
      <c r="H11" s="69">
        <v>4.6</v>
      </c>
      <c r="I11" s="69" t="s">
        <v>132</v>
      </c>
      <c r="J11" s="69" t="s">
        <v>132</v>
      </c>
      <c r="K11" s="69">
        <v>0.01</v>
      </c>
      <c r="L11" s="69" t="s">
        <v>132</v>
      </c>
      <c r="M11" s="69" t="s">
        <v>132</v>
      </c>
      <c r="N11" s="65">
        <f t="shared" si="0"/>
        <v>15.658943906270963</v>
      </c>
      <c r="O11" s="65">
        <f t="shared" si="1"/>
        <v>2.9410560937290384</v>
      </c>
      <c r="P11" s="66">
        <f t="shared" si="2"/>
        <v>17.129471953135482</v>
      </c>
      <c r="Q11" s="65">
        <f t="shared" si="3"/>
        <v>321.555147379817</v>
      </c>
      <c r="R11" s="66">
        <f t="shared" si="4"/>
        <v>11.291746639097875</v>
      </c>
      <c r="S11" s="67">
        <f t="shared" si="10"/>
        <v>-1.1000000000000227</v>
      </c>
      <c r="T11" s="67">
        <f t="shared" si="6"/>
        <v>0.2999999999999545</v>
      </c>
      <c r="U11" s="67">
        <f t="shared" si="7"/>
        <v>0.20459660702198335</v>
      </c>
      <c r="V11" s="67">
        <f t="shared" si="8"/>
        <v>0.40000000000000213</v>
      </c>
      <c r="W11" s="67">
        <f t="shared" si="9"/>
        <v>0.8344729643129085</v>
      </c>
      <c r="X11">
        <f t="shared" si="5"/>
        <v>337.5</v>
      </c>
    </row>
    <row r="12" spans="1:24" ht="13.5">
      <c r="A12" s="14">
        <v>27</v>
      </c>
      <c r="B12" s="73">
        <v>7</v>
      </c>
      <c r="C12" s="69">
        <v>1004.9</v>
      </c>
      <c r="D12" s="69">
        <v>1009.1</v>
      </c>
      <c r="E12" s="69">
        <v>19.4</v>
      </c>
      <c r="F12" s="69">
        <v>81</v>
      </c>
      <c r="G12" s="70" t="s">
        <v>135</v>
      </c>
      <c r="H12" s="69">
        <v>4.3</v>
      </c>
      <c r="I12" s="69" t="s">
        <v>132</v>
      </c>
      <c r="J12" s="69" t="s">
        <v>132</v>
      </c>
      <c r="K12" s="69">
        <v>0.41</v>
      </c>
      <c r="L12" s="69" t="s">
        <v>132</v>
      </c>
      <c r="M12" s="69" t="s">
        <v>132</v>
      </c>
      <c r="N12" s="65">
        <f t="shared" si="0"/>
        <v>16.05864779056617</v>
      </c>
      <c r="O12" s="65">
        <f t="shared" si="1"/>
        <v>3.341352209433829</v>
      </c>
      <c r="P12" s="66">
        <f t="shared" si="2"/>
        <v>17.729323895283084</v>
      </c>
      <c r="Q12" s="65">
        <f t="shared" si="3"/>
        <v>323.32701845919877</v>
      </c>
      <c r="R12" s="66">
        <f t="shared" si="4"/>
        <v>11.596393259969469</v>
      </c>
      <c r="S12" s="67">
        <f t="shared" si="10"/>
        <v>-0.2999999999999545</v>
      </c>
      <c r="T12" s="67">
        <f t="shared" si="6"/>
        <v>-0.2999999999999545</v>
      </c>
      <c r="U12" s="67">
        <f t="shared" si="7"/>
        <v>0.39970388429520654</v>
      </c>
      <c r="V12" s="67">
        <f t="shared" si="8"/>
        <v>0.7999999999999972</v>
      </c>
      <c r="W12" s="67">
        <f t="shared" si="9"/>
        <v>1.7718710793817536</v>
      </c>
      <c r="X12">
        <f t="shared" si="5"/>
        <v>337.5</v>
      </c>
    </row>
    <row r="13" spans="1:24" ht="13.5">
      <c r="A13" s="14">
        <v>27</v>
      </c>
      <c r="B13" s="73">
        <v>8</v>
      </c>
      <c r="C13" s="69">
        <v>1005.1</v>
      </c>
      <c r="D13" s="69">
        <v>1009.3</v>
      </c>
      <c r="E13" s="69">
        <v>19.8</v>
      </c>
      <c r="F13" s="69">
        <v>79</v>
      </c>
      <c r="G13" s="70" t="s">
        <v>135</v>
      </c>
      <c r="H13" s="69">
        <v>5.5</v>
      </c>
      <c r="I13" s="69" t="s">
        <v>132</v>
      </c>
      <c r="J13" s="69" t="s">
        <v>132</v>
      </c>
      <c r="K13" s="69">
        <v>0.56</v>
      </c>
      <c r="L13" s="69" t="s">
        <v>132</v>
      </c>
      <c r="M13" s="69" t="s">
        <v>132</v>
      </c>
      <c r="N13" s="65">
        <f t="shared" si="0"/>
        <v>16.056551432202184</v>
      </c>
      <c r="O13" s="65">
        <f t="shared" si="1"/>
        <v>3.7434485677978167</v>
      </c>
      <c r="P13" s="66">
        <f t="shared" si="2"/>
        <v>17.92827571610109</v>
      </c>
      <c r="Q13" s="65">
        <f t="shared" si="3"/>
        <v>323.7954160064719</v>
      </c>
      <c r="R13" s="66">
        <f t="shared" si="4"/>
        <v>11.592438162673385</v>
      </c>
      <c r="S13" s="67">
        <f t="shared" si="10"/>
        <v>0.1999999999999318</v>
      </c>
      <c r="T13" s="67">
        <f t="shared" si="6"/>
        <v>0.1999999999999318</v>
      </c>
      <c r="U13" s="67">
        <f t="shared" si="7"/>
        <v>-0.0020963583639854733</v>
      </c>
      <c r="V13" s="67">
        <f t="shared" si="8"/>
        <v>0.40000000000000213</v>
      </c>
      <c r="W13" s="67">
        <f t="shared" si="9"/>
        <v>0.46839754727312766</v>
      </c>
      <c r="X13">
        <f t="shared" si="5"/>
        <v>337.5</v>
      </c>
    </row>
    <row r="14" spans="1:24" ht="13.5">
      <c r="A14" s="14">
        <v>27</v>
      </c>
      <c r="B14" s="73">
        <v>9</v>
      </c>
      <c r="C14" s="69">
        <v>1004.5</v>
      </c>
      <c r="D14" s="69">
        <v>1008.7</v>
      </c>
      <c r="E14" s="69">
        <v>20.1</v>
      </c>
      <c r="F14" s="69">
        <v>80</v>
      </c>
      <c r="G14" s="70" t="s">
        <v>135</v>
      </c>
      <c r="H14" s="69">
        <v>4.7</v>
      </c>
      <c r="I14" s="69" t="s">
        <v>132</v>
      </c>
      <c r="J14" s="69" t="s">
        <v>132</v>
      </c>
      <c r="K14" s="69">
        <v>0.63</v>
      </c>
      <c r="L14" s="69" t="s">
        <v>132</v>
      </c>
      <c r="M14" s="69" t="s">
        <v>132</v>
      </c>
      <c r="N14" s="65">
        <f t="shared" si="0"/>
        <v>16.545589983528146</v>
      </c>
      <c r="O14" s="65">
        <f t="shared" si="1"/>
        <v>3.5544100164718557</v>
      </c>
      <c r="P14" s="66">
        <f t="shared" si="2"/>
        <v>18.322794991764074</v>
      </c>
      <c r="Q14" s="65">
        <f t="shared" si="3"/>
        <v>325.2020993474802</v>
      </c>
      <c r="R14" s="66">
        <f t="shared" si="4"/>
        <v>11.979589405240953</v>
      </c>
      <c r="S14" s="67">
        <f t="shared" si="10"/>
        <v>-0.6999999999999318</v>
      </c>
      <c r="T14" s="67">
        <f t="shared" si="6"/>
        <v>-0.599999999999909</v>
      </c>
      <c r="U14" s="67">
        <f t="shared" si="7"/>
        <v>0.48903855132596163</v>
      </c>
      <c r="V14" s="67">
        <f t="shared" si="8"/>
        <v>0.3000000000000007</v>
      </c>
      <c r="W14" s="67">
        <f t="shared" si="9"/>
        <v>1.4066833410083177</v>
      </c>
      <c r="X14">
        <f t="shared" si="5"/>
        <v>337.5</v>
      </c>
    </row>
    <row r="15" spans="1:24" ht="13.5">
      <c r="A15" s="14">
        <v>27</v>
      </c>
      <c r="B15" s="73">
        <v>10</v>
      </c>
      <c r="C15" s="69">
        <v>1004.1</v>
      </c>
      <c r="D15" s="69">
        <v>1008.3</v>
      </c>
      <c r="E15" s="69">
        <v>20</v>
      </c>
      <c r="F15" s="69">
        <v>84</v>
      </c>
      <c r="G15" s="70" t="s">
        <v>135</v>
      </c>
      <c r="H15" s="69">
        <v>5</v>
      </c>
      <c r="I15" s="69" t="s">
        <v>132</v>
      </c>
      <c r="J15" s="69" t="s">
        <v>132</v>
      </c>
      <c r="K15" s="69">
        <v>0.48</v>
      </c>
      <c r="L15" s="69" t="s">
        <v>132</v>
      </c>
      <c r="M15" s="69" t="s">
        <v>132</v>
      </c>
      <c r="N15" s="65">
        <f t="shared" si="0"/>
        <v>17.2166484867127</v>
      </c>
      <c r="O15" s="65">
        <f t="shared" si="1"/>
        <v>2.7833515132873003</v>
      </c>
      <c r="P15" s="66">
        <f t="shared" si="2"/>
        <v>18.60832424335635</v>
      </c>
      <c r="Q15" s="65">
        <f t="shared" si="3"/>
        <v>326.48452358884487</v>
      </c>
      <c r="R15" s="66">
        <f t="shared" si="4"/>
        <v>12.524787869744426</v>
      </c>
      <c r="S15" s="67">
        <f t="shared" si="10"/>
        <v>-0.8000000000000682</v>
      </c>
      <c r="T15" s="67">
        <f t="shared" si="6"/>
        <v>-0.40000000000009095</v>
      </c>
      <c r="U15" s="67">
        <f t="shared" si="7"/>
        <v>0.671058503184554</v>
      </c>
      <c r="V15" s="67">
        <f t="shared" si="8"/>
        <v>-0.10000000000000142</v>
      </c>
      <c r="W15" s="67">
        <f t="shared" si="9"/>
        <v>1.2824242413646516</v>
      </c>
      <c r="X15">
        <f t="shared" si="5"/>
        <v>337.5</v>
      </c>
    </row>
    <row r="16" spans="1:24" ht="13.5">
      <c r="A16" s="14">
        <v>27</v>
      </c>
      <c r="B16" s="73">
        <v>11</v>
      </c>
      <c r="C16" s="69">
        <v>1003.1</v>
      </c>
      <c r="D16" s="69">
        <v>1007.3</v>
      </c>
      <c r="E16" s="69">
        <v>20.1</v>
      </c>
      <c r="F16" s="69">
        <v>87</v>
      </c>
      <c r="G16" s="70" t="s">
        <v>135</v>
      </c>
      <c r="H16" s="69">
        <v>5.3</v>
      </c>
      <c r="I16" s="69">
        <v>0</v>
      </c>
      <c r="J16" s="69" t="s">
        <v>132</v>
      </c>
      <c r="K16" s="69">
        <v>0.21</v>
      </c>
      <c r="L16" s="69" t="s">
        <v>132</v>
      </c>
      <c r="M16" s="69" t="s">
        <v>132</v>
      </c>
      <c r="N16" s="65">
        <f t="shared" si="0"/>
        <v>17.870420488086438</v>
      </c>
      <c r="O16" s="65">
        <f t="shared" si="1"/>
        <v>2.2295795119135633</v>
      </c>
      <c r="P16" s="66">
        <f t="shared" si="2"/>
        <v>18.98521024404322</v>
      </c>
      <c r="Q16" s="65">
        <f t="shared" si="3"/>
        <v>328.1150071546632</v>
      </c>
      <c r="R16" s="66">
        <f t="shared" si="4"/>
        <v>13.085851904748296</v>
      </c>
      <c r="S16" s="67">
        <f t="shared" si="10"/>
        <v>-2</v>
      </c>
      <c r="T16" s="67">
        <f t="shared" si="6"/>
        <v>-1</v>
      </c>
      <c r="U16" s="67">
        <f t="shared" si="7"/>
        <v>0.6537720013737385</v>
      </c>
      <c r="V16" s="67">
        <f t="shared" si="8"/>
        <v>0.10000000000000142</v>
      </c>
      <c r="W16" s="67">
        <f t="shared" si="9"/>
        <v>1.6304835658183379</v>
      </c>
      <c r="X16">
        <f t="shared" si="5"/>
        <v>337.5</v>
      </c>
    </row>
    <row r="17" spans="1:24" ht="13.5">
      <c r="A17" s="14">
        <v>27</v>
      </c>
      <c r="B17" s="73">
        <v>12</v>
      </c>
      <c r="C17" s="69">
        <v>1001.5</v>
      </c>
      <c r="D17" s="69">
        <v>1005.7</v>
      </c>
      <c r="E17" s="69">
        <v>19.8</v>
      </c>
      <c r="F17" s="69">
        <v>88</v>
      </c>
      <c r="G17" s="70" t="s">
        <v>135</v>
      </c>
      <c r="H17" s="69">
        <v>4.3</v>
      </c>
      <c r="I17" s="69">
        <v>4.5</v>
      </c>
      <c r="J17" s="69" t="s">
        <v>132</v>
      </c>
      <c r="K17" s="69">
        <v>0.04</v>
      </c>
      <c r="L17" s="69" t="s">
        <v>132</v>
      </c>
      <c r="M17" s="69" t="s">
        <v>132</v>
      </c>
      <c r="N17" s="65">
        <f t="shared" si="0"/>
        <v>17.756612752537535</v>
      </c>
      <c r="O17" s="65">
        <f t="shared" si="1"/>
        <v>2.0433872474624657</v>
      </c>
      <c r="P17" s="66">
        <f t="shared" si="2"/>
        <v>18.778306376268766</v>
      </c>
      <c r="Q17" s="65">
        <f t="shared" si="3"/>
        <v>327.6978282189196</v>
      </c>
      <c r="R17" s="66">
        <f t="shared" si="4"/>
        <v>13.010034961396244</v>
      </c>
      <c r="S17" s="67">
        <f t="shared" si="10"/>
        <v>-3</v>
      </c>
      <c r="T17" s="67">
        <f t="shared" si="6"/>
        <v>-1.599999999999909</v>
      </c>
      <c r="U17" s="67">
        <f t="shared" si="7"/>
        <v>-0.11380773554890311</v>
      </c>
      <c r="V17" s="67">
        <f t="shared" si="8"/>
        <v>-0.3000000000000007</v>
      </c>
      <c r="W17" s="67">
        <f t="shared" si="9"/>
        <v>-0.41717893574360687</v>
      </c>
      <c r="X17">
        <f t="shared" si="5"/>
        <v>337.5</v>
      </c>
    </row>
    <row r="18" spans="1:24" ht="13.5">
      <c r="A18" s="14">
        <v>27</v>
      </c>
      <c r="B18" s="73">
        <v>13</v>
      </c>
      <c r="C18" s="69">
        <v>999.4</v>
      </c>
      <c r="D18" s="69">
        <v>1003.6</v>
      </c>
      <c r="E18" s="69">
        <v>19.8</v>
      </c>
      <c r="F18" s="69">
        <v>88</v>
      </c>
      <c r="G18" s="70" t="s">
        <v>137</v>
      </c>
      <c r="H18" s="69">
        <v>7.3</v>
      </c>
      <c r="I18" s="69">
        <v>7</v>
      </c>
      <c r="J18" s="69" t="s">
        <v>132</v>
      </c>
      <c r="K18" s="69">
        <v>0.07</v>
      </c>
      <c r="L18" s="69" t="s">
        <v>132</v>
      </c>
      <c r="M18" s="69" t="s">
        <v>132</v>
      </c>
      <c r="N18" s="65">
        <f t="shared" si="0"/>
        <v>17.756612752537535</v>
      </c>
      <c r="O18" s="65">
        <f t="shared" si="1"/>
        <v>2.0433872474624657</v>
      </c>
      <c r="P18" s="66">
        <f t="shared" si="2"/>
        <v>18.778306376268766</v>
      </c>
      <c r="Q18" s="65">
        <f t="shared" si="3"/>
        <v>327.9735668542675</v>
      </c>
      <c r="R18" s="66">
        <f t="shared" si="4"/>
        <v>13.037945467075719</v>
      </c>
      <c r="S18" s="67">
        <f t="shared" si="10"/>
        <v>-4.699999999999932</v>
      </c>
      <c r="T18" s="67">
        <f t="shared" si="6"/>
        <v>-2.1000000000000227</v>
      </c>
      <c r="U18" s="67">
        <f t="shared" si="7"/>
        <v>0</v>
      </c>
      <c r="V18" s="67">
        <f t="shared" si="8"/>
        <v>0</v>
      </c>
      <c r="W18" s="67">
        <f t="shared" si="9"/>
        <v>0.27573863534792054</v>
      </c>
      <c r="X18">
        <f t="shared" si="5"/>
        <v>22.5</v>
      </c>
    </row>
    <row r="19" spans="1:24" ht="13.5">
      <c r="A19" s="14">
        <v>27</v>
      </c>
      <c r="B19" s="73">
        <v>14</v>
      </c>
      <c r="C19" s="69">
        <v>1000.1</v>
      </c>
      <c r="D19" s="69">
        <v>1004.3</v>
      </c>
      <c r="E19" s="69">
        <v>20.5</v>
      </c>
      <c r="F19" s="69">
        <v>87</v>
      </c>
      <c r="G19" s="70" t="s">
        <v>140</v>
      </c>
      <c r="H19" s="69">
        <v>4.7</v>
      </c>
      <c r="I19" s="69">
        <v>0.5</v>
      </c>
      <c r="J19" s="69" t="s">
        <v>132</v>
      </c>
      <c r="K19" s="69">
        <v>0.37</v>
      </c>
      <c r="L19" s="69" t="s">
        <v>132</v>
      </c>
      <c r="M19" s="69" t="s">
        <v>132</v>
      </c>
      <c r="N19" s="65">
        <f t="shared" si="0"/>
        <v>18.263677503177632</v>
      </c>
      <c r="O19" s="65">
        <f t="shared" si="1"/>
        <v>2.2363224968223676</v>
      </c>
      <c r="P19" s="66">
        <f t="shared" si="2"/>
        <v>19.381838751588816</v>
      </c>
      <c r="Q19" s="65">
        <f t="shared" si="3"/>
        <v>329.8815773950148</v>
      </c>
      <c r="R19" s="66">
        <f t="shared" si="4"/>
        <v>13.467312426054354</v>
      </c>
      <c r="S19" s="67">
        <f t="shared" si="10"/>
        <v>-3</v>
      </c>
      <c r="T19" s="67">
        <f t="shared" si="6"/>
        <v>0.6999999999999318</v>
      </c>
      <c r="U19" s="67">
        <f t="shared" si="7"/>
        <v>0.5070647506400974</v>
      </c>
      <c r="V19" s="67">
        <f t="shared" si="8"/>
        <v>0.6999999999999993</v>
      </c>
      <c r="W19" s="67">
        <f t="shared" si="9"/>
        <v>1.9080105407472843</v>
      </c>
      <c r="X19">
        <f t="shared" si="5"/>
        <v>315</v>
      </c>
    </row>
    <row r="20" spans="1:24" ht="13.5">
      <c r="A20" s="14">
        <v>27</v>
      </c>
      <c r="B20" s="73">
        <v>15</v>
      </c>
      <c r="C20" s="69">
        <v>1000.1</v>
      </c>
      <c r="D20" s="69">
        <v>1004.3</v>
      </c>
      <c r="E20" s="69">
        <v>21.1</v>
      </c>
      <c r="F20" s="69">
        <v>82</v>
      </c>
      <c r="G20" s="70" t="s">
        <v>135</v>
      </c>
      <c r="H20" s="69">
        <v>3.6</v>
      </c>
      <c r="I20" s="69" t="s">
        <v>132</v>
      </c>
      <c r="J20" s="69" t="s">
        <v>132</v>
      </c>
      <c r="K20" s="69">
        <v>0.51</v>
      </c>
      <c r="L20" s="69" t="s">
        <v>132</v>
      </c>
      <c r="M20" s="69" t="s">
        <v>132</v>
      </c>
      <c r="N20" s="65">
        <f t="shared" si="0"/>
        <v>17.910269967147713</v>
      </c>
      <c r="O20" s="65">
        <f t="shared" si="1"/>
        <v>3.189730032852289</v>
      </c>
      <c r="P20" s="66">
        <f t="shared" si="2"/>
        <v>19.505134983573857</v>
      </c>
      <c r="Q20" s="65">
        <f t="shared" si="3"/>
        <v>329.8810050422067</v>
      </c>
      <c r="R20" s="66">
        <f t="shared" si="4"/>
        <v>13.16016202334471</v>
      </c>
      <c r="S20" s="67">
        <f t="shared" si="10"/>
        <v>-1.400000000000091</v>
      </c>
      <c r="T20" s="67">
        <f t="shared" si="6"/>
        <v>0</v>
      </c>
      <c r="U20" s="67">
        <f t="shared" si="7"/>
        <v>-0.3534075360299198</v>
      </c>
      <c r="V20" s="67">
        <f t="shared" si="8"/>
        <v>0.6000000000000014</v>
      </c>
      <c r="W20" s="67">
        <f t="shared" si="9"/>
        <v>-0.0005723528080920914</v>
      </c>
      <c r="X20">
        <f t="shared" si="5"/>
        <v>337.5</v>
      </c>
    </row>
    <row r="21" spans="1:24" ht="13.5">
      <c r="A21" s="14">
        <v>27</v>
      </c>
      <c r="B21" s="73">
        <v>16</v>
      </c>
      <c r="C21" s="69">
        <v>1000.7</v>
      </c>
      <c r="D21" s="69">
        <v>1004.9</v>
      </c>
      <c r="E21" s="69">
        <v>22.1</v>
      </c>
      <c r="F21" s="69">
        <v>79</v>
      </c>
      <c r="G21" s="70" t="s">
        <v>135</v>
      </c>
      <c r="H21" s="69">
        <v>4.8</v>
      </c>
      <c r="I21" s="69" t="s">
        <v>132</v>
      </c>
      <c r="J21" s="69" t="s">
        <v>132</v>
      </c>
      <c r="K21" s="69">
        <v>0.5</v>
      </c>
      <c r="L21" s="69" t="s">
        <v>132</v>
      </c>
      <c r="M21" s="69" t="s">
        <v>132</v>
      </c>
      <c r="N21" s="65">
        <f t="shared" si="0"/>
        <v>18.291338632882855</v>
      </c>
      <c r="O21" s="65">
        <f t="shared" si="1"/>
        <v>3.8086613671171463</v>
      </c>
      <c r="P21" s="66">
        <f t="shared" si="2"/>
        <v>20.19566931644143</v>
      </c>
      <c r="Q21" s="65">
        <f t="shared" si="3"/>
        <v>331.9335484498017</v>
      </c>
      <c r="R21" s="66">
        <f t="shared" si="4"/>
        <v>13.483363230434101</v>
      </c>
      <c r="S21" s="67">
        <f t="shared" si="10"/>
        <v>1.2999999999999545</v>
      </c>
      <c r="T21" s="67">
        <f t="shared" si="6"/>
        <v>0.6000000000000227</v>
      </c>
      <c r="U21" s="67">
        <f t="shared" si="7"/>
        <v>0.38106866573514253</v>
      </c>
      <c r="V21" s="67">
        <f t="shared" si="8"/>
        <v>1</v>
      </c>
      <c r="W21" s="67">
        <f t="shared" si="9"/>
        <v>2.05254340759501</v>
      </c>
      <c r="X21">
        <f t="shared" si="5"/>
        <v>337.5</v>
      </c>
    </row>
    <row r="22" spans="1:24" ht="13.5">
      <c r="A22" s="14">
        <v>27</v>
      </c>
      <c r="B22" s="73">
        <v>17</v>
      </c>
      <c r="C22" s="69">
        <v>1001.1</v>
      </c>
      <c r="D22" s="69">
        <v>1005.3</v>
      </c>
      <c r="E22" s="69">
        <v>22.2</v>
      </c>
      <c r="F22" s="69">
        <v>78</v>
      </c>
      <c r="G22" s="70" t="s">
        <v>138</v>
      </c>
      <c r="H22" s="69">
        <v>1.3</v>
      </c>
      <c r="I22" s="69" t="s">
        <v>132</v>
      </c>
      <c r="J22" s="69">
        <v>0.1</v>
      </c>
      <c r="K22" s="69">
        <v>0.15</v>
      </c>
      <c r="L22" s="69" t="s">
        <v>132</v>
      </c>
      <c r="M22" s="69" t="s">
        <v>132</v>
      </c>
      <c r="N22" s="65">
        <f t="shared" si="0"/>
        <v>18.185619329492454</v>
      </c>
      <c r="O22" s="65">
        <f t="shared" si="1"/>
        <v>4.0143806705075455</v>
      </c>
      <c r="P22" s="66">
        <f t="shared" si="2"/>
        <v>20.19280966474623</v>
      </c>
      <c r="Q22" s="65">
        <f t="shared" si="3"/>
        <v>331.77277523958327</v>
      </c>
      <c r="R22" s="66">
        <f t="shared" si="4"/>
        <v>13.38523959114582</v>
      </c>
      <c r="S22" s="67">
        <f t="shared" si="10"/>
        <v>1</v>
      </c>
      <c r="T22" s="67">
        <f t="shared" si="6"/>
        <v>0.39999999999997726</v>
      </c>
      <c r="U22" s="67">
        <f t="shared" si="7"/>
        <v>-0.10571930339040136</v>
      </c>
      <c r="V22" s="67">
        <f t="shared" si="8"/>
        <v>0.09999999999999787</v>
      </c>
      <c r="W22" s="67">
        <f t="shared" si="9"/>
        <v>-0.16077321021845137</v>
      </c>
      <c r="X22">
        <f t="shared" si="5"/>
        <v>0</v>
      </c>
    </row>
    <row r="23" spans="1:24" ht="13.5">
      <c r="A23" s="14">
        <v>27</v>
      </c>
      <c r="B23" s="73">
        <v>18</v>
      </c>
      <c r="C23" s="69">
        <v>1001.8</v>
      </c>
      <c r="D23" s="69">
        <v>1006</v>
      </c>
      <c r="E23" s="69">
        <v>21.1</v>
      </c>
      <c r="F23" s="69">
        <v>82</v>
      </c>
      <c r="G23" s="70" t="s">
        <v>134</v>
      </c>
      <c r="H23" s="69">
        <v>1.4</v>
      </c>
      <c r="I23" s="69" t="s">
        <v>132</v>
      </c>
      <c r="J23" s="69">
        <v>0.1</v>
      </c>
      <c r="K23" s="69">
        <v>0.03</v>
      </c>
      <c r="L23" s="69" t="s">
        <v>132</v>
      </c>
      <c r="M23" s="69" t="s">
        <v>132</v>
      </c>
      <c r="N23" s="65">
        <f t="shared" si="0"/>
        <v>17.910269967147713</v>
      </c>
      <c r="O23" s="65">
        <f t="shared" si="1"/>
        <v>3.189730032852289</v>
      </c>
      <c r="P23" s="66">
        <f t="shared" si="2"/>
        <v>19.505134983573857</v>
      </c>
      <c r="Q23" s="65">
        <f t="shared" si="3"/>
        <v>329.6556540439993</v>
      </c>
      <c r="R23" s="66">
        <f t="shared" si="4"/>
        <v>13.137358266375472</v>
      </c>
      <c r="S23" s="67">
        <f t="shared" si="10"/>
        <v>1.7000000000000455</v>
      </c>
      <c r="T23" s="67">
        <f t="shared" si="6"/>
        <v>0.7000000000000455</v>
      </c>
      <c r="U23" s="67">
        <f t="shared" si="7"/>
        <v>-0.27534936234474117</v>
      </c>
      <c r="V23" s="67">
        <f t="shared" si="8"/>
        <v>-1.0999999999999979</v>
      </c>
      <c r="W23" s="67">
        <f t="shared" si="9"/>
        <v>-2.117121195583991</v>
      </c>
      <c r="X23">
        <f t="shared" si="5"/>
        <v>225</v>
      </c>
    </row>
    <row r="24" spans="1:24" ht="13.5">
      <c r="A24" s="14">
        <v>27</v>
      </c>
      <c r="B24" s="73">
        <v>19</v>
      </c>
      <c r="C24" s="69">
        <v>1002.5</v>
      </c>
      <c r="D24" s="69">
        <v>1006.7</v>
      </c>
      <c r="E24" s="69">
        <v>21.1</v>
      </c>
      <c r="F24" s="69">
        <v>83</v>
      </c>
      <c r="G24" s="70" t="s">
        <v>134</v>
      </c>
      <c r="H24" s="69">
        <v>1.8</v>
      </c>
      <c r="I24" s="69" t="s">
        <v>132</v>
      </c>
      <c r="J24" s="69"/>
      <c r="K24" s="69">
        <v>0</v>
      </c>
      <c r="L24" s="69" t="s">
        <v>132</v>
      </c>
      <c r="M24" s="69" t="s">
        <v>132</v>
      </c>
      <c r="N24" s="65">
        <f t="shared" si="0"/>
        <v>18.102891501918464</v>
      </c>
      <c r="O24" s="65">
        <f t="shared" si="1"/>
        <v>2.9971084980815377</v>
      </c>
      <c r="P24" s="66">
        <f t="shared" si="2"/>
        <v>19.601445750959233</v>
      </c>
      <c r="Q24" s="65">
        <f t="shared" si="3"/>
        <v>329.9830091181614</v>
      </c>
      <c r="R24" s="66">
        <f t="shared" si="4"/>
        <v>13.29418031391816</v>
      </c>
      <c r="S24" s="67">
        <f t="shared" si="10"/>
        <v>1.8000000000000682</v>
      </c>
      <c r="T24" s="67">
        <f t="shared" si="6"/>
        <v>0.7000000000000455</v>
      </c>
      <c r="U24" s="67">
        <f t="shared" si="7"/>
        <v>0.19262153477075117</v>
      </c>
      <c r="V24" s="67">
        <f t="shared" si="8"/>
        <v>0</v>
      </c>
      <c r="W24" s="67">
        <f t="shared" si="9"/>
        <v>0.32735507416214205</v>
      </c>
      <c r="X24">
        <f t="shared" si="5"/>
        <v>225</v>
      </c>
    </row>
    <row r="25" spans="1:24" ht="13.5">
      <c r="A25" s="14">
        <v>27</v>
      </c>
      <c r="B25" s="73">
        <v>20</v>
      </c>
      <c r="C25" s="69">
        <v>1003</v>
      </c>
      <c r="D25" s="69">
        <v>1007.2</v>
      </c>
      <c r="E25" s="69">
        <v>21.3</v>
      </c>
      <c r="F25" s="69">
        <v>82</v>
      </c>
      <c r="G25" s="70" t="s">
        <v>134</v>
      </c>
      <c r="H25" s="69">
        <v>3.1</v>
      </c>
      <c r="I25" s="69" t="s">
        <v>132</v>
      </c>
      <c r="J25" s="69"/>
      <c r="K25" s="69"/>
      <c r="L25" s="69" t="s">
        <v>132</v>
      </c>
      <c r="M25" s="69" t="s">
        <v>132</v>
      </c>
      <c r="N25" s="65">
        <f t="shared" si="0"/>
        <v>18.105475287381864</v>
      </c>
      <c r="O25" s="65">
        <f t="shared" si="1"/>
        <v>3.1945247126181364</v>
      </c>
      <c r="P25" s="66">
        <f t="shared" si="2"/>
        <v>19.70273764369093</v>
      </c>
      <c r="Q25" s="65">
        <f t="shared" si="3"/>
        <v>330.17999346141596</v>
      </c>
      <c r="R25" s="66">
        <f t="shared" si="4"/>
        <v>13.289652624550671</v>
      </c>
      <c r="S25" s="67">
        <f t="shared" si="10"/>
        <v>1.900000000000091</v>
      </c>
      <c r="T25" s="67">
        <f t="shared" si="6"/>
        <v>0.5</v>
      </c>
      <c r="U25" s="67">
        <f t="shared" si="7"/>
        <v>0.0025837854634005453</v>
      </c>
      <c r="V25" s="67">
        <f t="shared" si="8"/>
        <v>0.1999999999999993</v>
      </c>
      <c r="W25" s="67">
        <f t="shared" si="9"/>
        <v>0.19698434325454173</v>
      </c>
      <c r="X25">
        <f t="shared" si="5"/>
        <v>225</v>
      </c>
    </row>
    <row r="26" spans="1:24" ht="13.5">
      <c r="A26" s="14">
        <v>27</v>
      </c>
      <c r="B26" s="73">
        <v>21</v>
      </c>
      <c r="C26" s="69">
        <v>1003.7</v>
      </c>
      <c r="D26" s="69">
        <v>1007.9</v>
      </c>
      <c r="E26" s="69">
        <v>21.6</v>
      </c>
      <c r="F26" s="69">
        <v>79</v>
      </c>
      <c r="G26" s="70" t="s">
        <v>134</v>
      </c>
      <c r="H26" s="69">
        <v>2.8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17.80556254325637</v>
      </c>
      <c r="O26" s="65">
        <f t="shared" si="1"/>
        <v>3.79443745674363</v>
      </c>
      <c r="P26" s="66">
        <f t="shared" si="2"/>
        <v>19.702781271628186</v>
      </c>
      <c r="Q26" s="65">
        <f t="shared" si="3"/>
        <v>329.81941849797767</v>
      </c>
      <c r="R26" s="66">
        <f t="shared" si="4"/>
        <v>13.022537863352746</v>
      </c>
      <c r="S26" s="67">
        <f t="shared" si="10"/>
        <v>1.8999999999999773</v>
      </c>
      <c r="T26" s="67">
        <f t="shared" si="6"/>
        <v>0.6999999999999318</v>
      </c>
      <c r="U26" s="67">
        <f t="shared" si="7"/>
        <v>-0.29991274412549274</v>
      </c>
      <c r="V26" s="67">
        <f t="shared" si="8"/>
        <v>0.3000000000000007</v>
      </c>
      <c r="W26" s="67">
        <f t="shared" si="9"/>
        <v>-0.360574963438296</v>
      </c>
      <c r="X26">
        <f t="shared" si="5"/>
        <v>225</v>
      </c>
    </row>
    <row r="27" spans="1:24" ht="13.5">
      <c r="A27" s="14">
        <v>27</v>
      </c>
      <c r="B27" s="73">
        <v>22</v>
      </c>
      <c r="C27" s="69">
        <v>1003.9</v>
      </c>
      <c r="D27" s="69">
        <v>1008.1</v>
      </c>
      <c r="E27" s="69">
        <v>22</v>
      </c>
      <c r="F27" s="69">
        <v>78</v>
      </c>
      <c r="G27" s="70" t="s">
        <v>134</v>
      </c>
      <c r="H27" s="69">
        <v>2.8</v>
      </c>
      <c r="I27" s="69" t="s">
        <v>132</v>
      </c>
      <c r="J27" s="69"/>
      <c r="K27" s="69"/>
      <c r="L27" s="69" t="s">
        <v>132</v>
      </c>
      <c r="M27" s="69" t="s">
        <v>132</v>
      </c>
      <c r="N27" s="65">
        <f t="shared" si="0"/>
        <v>17.99161494720289</v>
      </c>
      <c r="O27" s="65">
        <f t="shared" si="1"/>
        <v>4.008385052797109</v>
      </c>
      <c r="P27" s="66">
        <f t="shared" si="2"/>
        <v>19.995807473601445</v>
      </c>
      <c r="Q27" s="65">
        <f t="shared" si="3"/>
        <v>330.7119609490493</v>
      </c>
      <c r="R27" s="66">
        <f t="shared" si="4"/>
        <v>13.179145032501173</v>
      </c>
      <c r="S27" s="67">
        <f t="shared" si="10"/>
        <v>1.3999999999999773</v>
      </c>
      <c r="T27" s="68">
        <f t="shared" si="6"/>
        <v>0.20000000000004547</v>
      </c>
      <c r="U27" s="68">
        <f t="shared" si="7"/>
        <v>0.186052403946519</v>
      </c>
      <c r="V27" s="68">
        <f t="shared" si="8"/>
        <v>0.3999999999999986</v>
      </c>
      <c r="W27" s="67">
        <f t="shared" si="9"/>
        <v>0.8925424510716198</v>
      </c>
      <c r="X27">
        <f t="shared" si="5"/>
        <v>225</v>
      </c>
    </row>
    <row r="28" spans="1:24" ht="13.5">
      <c r="A28" s="14">
        <v>27</v>
      </c>
      <c r="B28" s="73">
        <v>23</v>
      </c>
      <c r="C28" s="69">
        <v>1004</v>
      </c>
      <c r="D28" s="69">
        <v>1008.2</v>
      </c>
      <c r="E28" s="69">
        <v>21.7</v>
      </c>
      <c r="F28" s="69">
        <v>80</v>
      </c>
      <c r="G28" s="70" t="s">
        <v>134</v>
      </c>
      <c r="H28" s="69">
        <v>3.1</v>
      </c>
      <c r="I28" s="69" t="s">
        <v>132</v>
      </c>
      <c r="J28" s="69"/>
      <c r="K28" s="69"/>
      <c r="L28" s="69" t="s">
        <v>132</v>
      </c>
      <c r="M28" s="69" t="s">
        <v>132</v>
      </c>
      <c r="N28" s="65">
        <f t="shared" si="0"/>
        <v>18.102604326833557</v>
      </c>
      <c r="O28" s="65">
        <f t="shared" si="1"/>
        <v>3.5973956731664423</v>
      </c>
      <c r="P28" s="66">
        <f t="shared" si="2"/>
        <v>19.90130216341678</v>
      </c>
      <c r="Q28" s="65">
        <f t="shared" si="3"/>
        <v>330.55624662188075</v>
      </c>
      <c r="R28" s="66">
        <f t="shared" si="4"/>
        <v>13.273645819812902</v>
      </c>
      <c r="S28" s="67">
        <f t="shared" si="10"/>
        <v>1</v>
      </c>
      <c r="T28" s="68">
        <f t="shared" si="6"/>
        <v>0.10000000000002274</v>
      </c>
      <c r="U28" s="68">
        <f t="shared" si="7"/>
        <v>0.11098937963066646</v>
      </c>
      <c r="V28" s="68">
        <f t="shared" si="8"/>
        <v>-0.3000000000000007</v>
      </c>
      <c r="W28" s="67">
        <f t="shared" si="9"/>
        <v>-0.15571432716853906</v>
      </c>
      <c r="X28">
        <f t="shared" si="5"/>
        <v>225</v>
      </c>
    </row>
    <row r="29" spans="1:24" ht="13.5">
      <c r="A29" s="14">
        <v>27</v>
      </c>
      <c r="B29" s="73">
        <v>24</v>
      </c>
      <c r="C29" s="69">
        <v>1003.9</v>
      </c>
      <c r="D29" s="69">
        <v>1008.1</v>
      </c>
      <c r="E29" s="69">
        <v>20.7</v>
      </c>
      <c r="F29" s="69">
        <v>85</v>
      </c>
      <c r="G29" s="70" t="s">
        <v>141</v>
      </c>
      <c r="H29" s="69">
        <v>2.5</v>
      </c>
      <c r="I29" s="69" t="s">
        <v>132</v>
      </c>
      <c r="J29" s="69"/>
      <c r="K29" s="69"/>
      <c r="L29" s="69" t="s">
        <v>132</v>
      </c>
      <c r="M29" s="69" t="s">
        <v>132</v>
      </c>
      <c r="N29" s="65">
        <f t="shared" si="0"/>
        <v>18.089966194082535</v>
      </c>
      <c r="O29" s="65">
        <f t="shared" si="1"/>
        <v>2.610033805917464</v>
      </c>
      <c r="P29" s="66">
        <f t="shared" si="2"/>
        <v>19.39498309704127</v>
      </c>
      <c r="Q29" s="65">
        <f t="shared" si="3"/>
        <v>329.25417313920707</v>
      </c>
      <c r="R29" s="66">
        <f t="shared" si="4"/>
        <v>13.264049753362963</v>
      </c>
      <c r="S29" s="67">
        <f t="shared" si="10"/>
        <v>0.20000000000004547</v>
      </c>
      <c r="T29" s="68">
        <f t="shared" si="6"/>
        <v>-0.10000000000002274</v>
      </c>
      <c r="U29" s="68">
        <f t="shared" si="7"/>
        <v>-0.012638132751021658</v>
      </c>
      <c r="V29" s="68">
        <f t="shared" si="8"/>
        <v>-1</v>
      </c>
      <c r="W29" s="67">
        <f t="shared" si="9"/>
        <v>-1.302073482673677</v>
      </c>
      <c r="X29">
        <f t="shared" si="5"/>
        <v>247.5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O29"/>
  <sheetViews>
    <sheetView workbookViewId="0" topLeftCell="X1">
      <selection activeCell="AB1" sqref="AB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6.50390625" style="0" bestFit="1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横浜</v>
      </c>
    </row>
    <row r="2" ht="17.25" customHeight="1">
      <c r="B2" t="s">
        <v>154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151</v>
      </c>
      <c r="M4" s="59" t="s">
        <v>151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1006.1</v>
      </c>
      <c r="D6" s="69">
        <v>1011.1</v>
      </c>
      <c r="E6" s="69">
        <v>16.6</v>
      </c>
      <c r="F6" s="69">
        <v>89</v>
      </c>
      <c r="G6" s="70" t="s">
        <v>135</v>
      </c>
      <c r="H6" s="69">
        <v>5.1</v>
      </c>
      <c r="I6" s="69">
        <v>0</v>
      </c>
      <c r="J6" s="69"/>
      <c r="K6" s="69"/>
      <c r="L6" s="69" t="s">
        <v>132</v>
      </c>
      <c r="M6" s="69" t="s">
        <v>132</v>
      </c>
      <c r="N6" s="65">
        <f aca="true" t="shared" si="0" ref="N6:N29">4303.4/(19.482-LN(EXP(19.482-4303.4/(E6+243.5))*F6/100))-243.5</f>
        <v>14.780832106428534</v>
      </c>
      <c r="O6" s="65">
        <f aca="true" t="shared" si="1" ref="O6:O29">E6-N6</f>
        <v>1.8191678935714677</v>
      </c>
      <c r="P6" s="66">
        <f aca="true" t="shared" si="2" ref="P6:P29">(E6+N6)/2</f>
        <v>15.690416053214268</v>
      </c>
      <c r="Q6" s="65">
        <f aca="true" t="shared" si="3" ref="Q6:Q29">EPT(E6,F6,C6)</f>
        <v>317.4015448604125</v>
      </c>
      <c r="R6" s="66">
        <f aca="true" t="shared" si="4" ref="R6:R29">q(E6,F6,C6)</f>
        <v>10.64197229683342</v>
      </c>
      <c r="S6" s="67"/>
      <c r="T6" s="67"/>
      <c r="U6" s="67"/>
      <c r="V6" s="67"/>
      <c r="W6" s="14"/>
      <c r="X6">
        <f aca="true" t="shared" si="5" ref="X6:X29">fuukou_get(G6)</f>
        <v>337.5</v>
      </c>
    </row>
    <row r="7" spans="1:24" ht="13.5">
      <c r="A7" s="14">
        <v>27</v>
      </c>
      <c r="B7" s="73">
        <v>2</v>
      </c>
      <c r="C7" s="69">
        <v>1005.4</v>
      </c>
      <c r="D7" s="69">
        <v>1010.4</v>
      </c>
      <c r="E7" s="69">
        <v>17</v>
      </c>
      <c r="F7" s="69">
        <v>88</v>
      </c>
      <c r="G7" s="70" t="s">
        <v>135</v>
      </c>
      <c r="H7" s="69">
        <v>4.6</v>
      </c>
      <c r="I7" s="69">
        <v>0</v>
      </c>
      <c r="J7" s="69"/>
      <c r="K7" s="69"/>
      <c r="L7" s="69" t="s">
        <v>132</v>
      </c>
      <c r="M7" s="69" t="s">
        <v>132</v>
      </c>
      <c r="N7" s="65">
        <f t="shared" si="0"/>
        <v>14.999676398585336</v>
      </c>
      <c r="O7" s="65">
        <f t="shared" si="1"/>
        <v>2.0003236014146637</v>
      </c>
      <c r="P7" s="66">
        <f t="shared" si="2"/>
        <v>15.999838199292668</v>
      </c>
      <c r="Q7" s="65">
        <f t="shared" si="3"/>
        <v>318.35708552784814</v>
      </c>
      <c r="R7" s="66">
        <f t="shared" si="4"/>
        <v>10.805548354892531</v>
      </c>
      <c r="S7" s="67"/>
      <c r="T7" s="67">
        <f aca="true" t="shared" si="6" ref="T7:T29">D7-D6</f>
        <v>-0.7000000000000455</v>
      </c>
      <c r="U7" s="67">
        <f aca="true" t="shared" si="7" ref="U7:U29">N7-N6</f>
        <v>0.21884429215680257</v>
      </c>
      <c r="V7" s="67">
        <f aca="true" t="shared" si="8" ref="V7:V29">E7-E6</f>
        <v>0.3999999999999986</v>
      </c>
      <c r="W7" s="67">
        <f aca="true" t="shared" si="9" ref="W7:W29">Q7-Q6</f>
        <v>0.9555406674356277</v>
      </c>
      <c r="X7">
        <f t="shared" si="5"/>
        <v>337.5</v>
      </c>
    </row>
    <row r="8" spans="1:24" ht="13.5">
      <c r="A8" s="14">
        <v>27</v>
      </c>
      <c r="B8" s="73">
        <v>3</v>
      </c>
      <c r="C8" s="69">
        <v>1004.9</v>
      </c>
      <c r="D8" s="69">
        <v>1009.9</v>
      </c>
      <c r="E8" s="69">
        <v>17.5</v>
      </c>
      <c r="F8" s="69">
        <v>87</v>
      </c>
      <c r="G8" s="70" t="s">
        <v>138</v>
      </c>
      <c r="H8" s="69">
        <v>5.2</v>
      </c>
      <c r="I8" s="69" t="s">
        <v>132</v>
      </c>
      <c r="J8" s="69"/>
      <c r="K8" s="69"/>
      <c r="L8" s="69" t="s">
        <v>132</v>
      </c>
      <c r="M8" s="69" t="s">
        <v>132</v>
      </c>
      <c r="N8" s="65">
        <f t="shared" si="0"/>
        <v>15.314003808203893</v>
      </c>
      <c r="O8" s="65">
        <f t="shared" si="1"/>
        <v>2.1859961917961073</v>
      </c>
      <c r="P8" s="66">
        <f t="shared" si="2"/>
        <v>16.407001904101946</v>
      </c>
      <c r="Q8" s="65">
        <f t="shared" si="3"/>
        <v>319.59208074357525</v>
      </c>
      <c r="R8" s="66">
        <f t="shared" si="4"/>
        <v>11.038909018264292</v>
      </c>
      <c r="S8" s="67"/>
      <c r="T8" s="67">
        <f t="shared" si="6"/>
        <v>-0.5</v>
      </c>
      <c r="U8" s="67">
        <f t="shared" si="7"/>
        <v>0.31432740961855643</v>
      </c>
      <c r="V8" s="67">
        <f t="shared" si="8"/>
        <v>0.5</v>
      </c>
      <c r="W8" s="67">
        <f t="shared" si="9"/>
        <v>1.2349952157271105</v>
      </c>
      <c r="X8">
        <f t="shared" si="5"/>
        <v>0</v>
      </c>
    </row>
    <row r="9" spans="1:24" ht="13.5">
      <c r="A9" s="14">
        <v>27</v>
      </c>
      <c r="B9" s="73">
        <v>4</v>
      </c>
      <c r="C9" s="69">
        <v>1004.4</v>
      </c>
      <c r="D9" s="69">
        <v>1009.4</v>
      </c>
      <c r="E9" s="69">
        <v>17.7</v>
      </c>
      <c r="F9" s="69">
        <v>87</v>
      </c>
      <c r="G9" s="70" t="s">
        <v>138</v>
      </c>
      <c r="H9" s="69">
        <v>4.3</v>
      </c>
      <c r="I9" s="69" t="s">
        <v>132</v>
      </c>
      <c r="J9" s="69"/>
      <c r="K9" s="69"/>
      <c r="L9" s="69" t="s">
        <v>132</v>
      </c>
      <c r="M9" s="69" t="s">
        <v>132</v>
      </c>
      <c r="N9" s="65">
        <f t="shared" si="0"/>
        <v>15.510666389973323</v>
      </c>
      <c r="O9" s="65">
        <f t="shared" si="1"/>
        <v>2.189333610026676</v>
      </c>
      <c r="P9" s="66">
        <f t="shared" si="2"/>
        <v>16.605333194986663</v>
      </c>
      <c r="Q9" s="65">
        <f t="shared" si="3"/>
        <v>320.2572422217233</v>
      </c>
      <c r="R9" s="66">
        <f t="shared" si="4"/>
        <v>11.189380286324212</v>
      </c>
      <c r="S9" s="67">
        <f aca="true" t="shared" si="10" ref="S9:S29">D9-D6</f>
        <v>-1.7000000000000455</v>
      </c>
      <c r="T9" s="67">
        <f t="shared" si="6"/>
        <v>-0.5</v>
      </c>
      <c r="U9" s="67">
        <f t="shared" si="7"/>
        <v>0.19666258176943074</v>
      </c>
      <c r="V9" s="67">
        <f t="shared" si="8"/>
        <v>0.1999999999999993</v>
      </c>
      <c r="W9" s="67">
        <f t="shared" si="9"/>
        <v>0.6651614781480362</v>
      </c>
      <c r="X9">
        <f t="shared" si="5"/>
        <v>0</v>
      </c>
    </row>
    <row r="10" spans="1:24" ht="13.5">
      <c r="A10" s="14">
        <v>27</v>
      </c>
      <c r="B10" s="73">
        <v>5</v>
      </c>
      <c r="C10" s="69">
        <v>1004</v>
      </c>
      <c r="D10" s="69">
        <v>1009</v>
      </c>
      <c r="E10" s="69">
        <v>18</v>
      </c>
      <c r="F10" s="69">
        <v>85</v>
      </c>
      <c r="G10" s="70" t="s">
        <v>135</v>
      </c>
      <c r="H10" s="69">
        <v>3.8</v>
      </c>
      <c r="I10" s="69" t="s">
        <v>132</v>
      </c>
      <c r="J10" s="69"/>
      <c r="K10" s="69"/>
      <c r="L10" s="69" t="s">
        <v>132</v>
      </c>
      <c r="M10" s="69" t="s">
        <v>132</v>
      </c>
      <c r="N10" s="65">
        <f t="shared" si="0"/>
        <v>15.442782072558146</v>
      </c>
      <c r="O10" s="65">
        <f t="shared" si="1"/>
        <v>2.5572179274418545</v>
      </c>
      <c r="P10" s="66">
        <f t="shared" si="2"/>
        <v>16.721391036279073</v>
      </c>
      <c r="Q10" s="65">
        <f t="shared" si="3"/>
        <v>320.5514865474716</v>
      </c>
      <c r="R10" s="66">
        <f t="shared" si="4"/>
        <v>11.143693412709585</v>
      </c>
      <c r="S10" s="67">
        <f t="shared" si="10"/>
        <v>-1.3999999999999773</v>
      </c>
      <c r="T10" s="67">
        <f t="shared" si="6"/>
        <v>-0.39999999999997726</v>
      </c>
      <c r="U10" s="67">
        <f t="shared" si="7"/>
        <v>-0.06788431741517797</v>
      </c>
      <c r="V10" s="67">
        <f t="shared" si="8"/>
        <v>0.3000000000000007</v>
      </c>
      <c r="W10" s="67">
        <f t="shared" si="9"/>
        <v>0.29424432574830917</v>
      </c>
      <c r="X10">
        <f t="shared" si="5"/>
        <v>337.5</v>
      </c>
    </row>
    <row r="11" spans="1:24" ht="13.5">
      <c r="A11" s="14">
        <v>27</v>
      </c>
      <c r="B11" s="73">
        <v>6</v>
      </c>
      <c r="C11" s="69">
        <v>1004.3</v>
      </c>
      <c r="D11" s="69">
        <v>1009.3</v>
      </c>
      <c r="E11" s="69">
        <v>18.4</v>
      </c>
      <c r="F11" s="69">
        <v>85</v>
      </c>
      <c r="G11" s="70" t="s">
        <v>138</v>
      </c>
      <c r="H11" s="69">
        <v>4.3</v>
      </c>
      <c r="I11" s="69" t="s">
        <v>132</v>
      </c>
      <c r="J11" s="69" t="s">
        <v>132</v>
      </c>
      <c r="K11" s="69"/>
      <c r="L11" s="69" t="s">
        <v>132</v>
      </c>
      <c r="M11" s="69" t="s">
        <v>132</v>
      </c>
      <c r="N11" s="65">
        <f t="shared" si="0"/>
        <v>15.834991228724732</v>
      </c>
      <c r="O11" s="65">
        <f t="shared" si="1"/>
        <v>2.5650087712752665</v>
      </c>
      <c r="P11" s="66">
        <f t="shared" si="2"/>
        <v>17.117495614362365</v>
      </c>
      <c r="Q11" s="65">
        <f t="shared" si="3"/>
        <v>321.73605529512747</v>
      </c>
      <c r="R11" s="66">
        <f t="shared" si="4"/>
        <v>11.433260095083384</v>
      </c>
      <c r="S11" s="67">
        <f t="shared" si="10"/>
        <v>-0.6000000000000227</v>
      </c>
      <c r="T11" s="67">
        <f t="shared" si="6"/>
        <v>0.2999999999999545</v>
      </c>
      <c r="U11" s="67">
        <f t="shared" si="7"/>
        <v>0.3922091561665866</v>
      </c>
      <c r="V11" s="67">
        <f t="shared" si="8"/>
        <v>0.3999999999999986</v>
      </c>
      <c r="W11" s="67">
        <f t="shared" si="9"/>
        <v>1.1845687476558737</v>
      </c>
      <c r="X11">
        <f t="shared" si="5"/>
        <v>0</v>
      </c>
    </row>
    <row r="12" spans="1:24" ht="13.5">
      <c r="A12" s="14">
        <v>27</v>
      </c>
      <c r="B12" s="73">
        <v>7</v>
      </c>
      <c r="C12" s="69">
        <v>1004</v>
      </c>
      <c r="D12" s="69">
        <v>1009</v>
      </c>
      <c r="E12" s="69">
        <v>19.3</v>
      </c>
      <c r="F12" s="69">
        <v>82</v>
      </c>
      <c r="G12" s="70" t="s">
        <v>138</v>
      </c>
      <c r="H12" s="69">
        <v>4</v>
      </c>
      <c r="I12" s="69" t="s">
        <v>132</v>
      </c>
      <c r="J12" s="69" t="s">
        <v>132</v>
      </c>
      <c r="K12" s="69"/>
      <c r="L12" s="69" t="s">
        <v>132</v>
      </c>
      <c r="M12" s="69" t="s">
        <v>132</v>
      </c>
      <c r="N12" s="65">
        <f t="shared" si="0"/>
        <v>16.153261991422426</v>
      </c>
      <c r="O12" s="65">
        <f t="shared" si="1"/>
        <v>3.146738008577575</v>
      </c>
      <c r="P12" s="66">
        <f t="shared" si="2"/>
        <v>17.72663099571121</v>
      </c>
      <c r="Q12" s="65">
        <f t="shared" si="3"/>
        <v>323.4974254254714</v>
      </c>
      <c r="R12" s="66">
        <f t="shared" si="4"/>
        <v>11.679695280766365</v>
      </c>
      <c r="S12" s="67">
        <f t="shared" si="10"/>
        <v>-0.39999999999997726</v>
      </c>
      <c r="T12" s="67">
        <f t="shared" si="6"/>
        <v>-0.2999999999999545</v>
      </c>
      <c r="U12" s="67">
        <f t="shared" si="7"/>
        <v>0.3182707626976935</v>
      </c>
      <c r="V12" s="67">
        <f t="shared" si="8"/>
        <v>0.9000000000000021</v>
      </c>
      <c r="W12" s="67">
        <f t="shared" si="9"/>
        <v>1.7613701303439484</v>
      </c>
      <c r="X12">
        <f t="shared" si="5"/>
        <v>0</v>
      </c>
    </row>
    <row r="13" spans="1:24" ht="13.5">
      <c r="A13" s="14">
        <v>27</v>
      </c>
      <c r="B13" s="73">
        <v>8</v>
      </c>
      <c r="C13" s="69">
        <v>1004.1</v>
      </c>
      <c r="D13" s="69">
        <v>1009</v>
      </c>
      <c r="E13" s="69">
        <v>20.2</v>
      </c>
      <c r="F13" s="69">
        <v>78</v>
      </c>
      <c r="G13" s="70" t="s">
        <v>138</v>
      </c>
      <c r="H13" s="69">
        <v>4.2</v>
      </c>
      <c r="I13" s="69" t="s">
        <v>132</v>
      </c>
      <c r="J13" s="69">
        <v>0.3</v>
      </c>
      <c r="K13" s="69"/>
      <c r="L13" s="69" t="s">
        <v>132</v>
      </c>
      <c r="M13" s="69" t="s">
        <v>132</v>
      </c>
      <c r="N13" s="65">
        <f t="shared" si="0"/>
        <v>16.2453769113348</v>
      </c>
      <c r="O13" s="65">
        <f t="shared" si="1"/>
        <v>3.9546230886651976</v>
      </c>
      <c r="P13" s="66">
        <f t="shared" si="2"/>
        <v>18.222688455667402</v>
      </c>
      <c r="Q13" s="65">
        <f t="shared" si="3"/>
        <v>324.7862103795795</v>
      </c>
      <c r="R13" s="66">
        <f t="shared" si="4"/>
        <v>11.749694620107986</v>
      </c>
      <c r="S13" s="67">
        <f t="shared" si="10"/>
        <v>0</v>
      </c>
      <c r="T13" s="67">
        <f t="shared" si="6"/>
        <v>0</v>
      </c>
      <c r="U13" s="67">
        <f t="shared" si="7"/>
        <v>0.09211491991237608</v>
      </c>
      <c r="V13" s="67">
        <f t="shared" si="8"/>
        <v>0.8999999999999986</v>
      </c>
      <c r="W13" s="67">
        <f t="shared" si="9"/>
        <v>1.2887849541080527</v>
      </c>
      <c r="X13">
        <f t="shared" si="5"/>
        <v>0</v>
      </c>
    </row>
    <row r="14" spans="1:24" ht="13.5">
      <c r="A14" s="14">
        <v>27</v>
      </c>
      <c r="B14" s="73">
        <v>9</v>
      </c>
      <c r="C14" s="69">
        <v>1003.4</v>
      </c>
      <c r="D14" s="69">
        <v>1008.3</v>
      </c>
      <c r="E14" s="69">
        <v>20.5</v>
      </c>
      <c r="F14" s="69">
        <v>78</v>
      </c>
      <c r="G14" s="70" t="s">
        <v>138</v>
      </c>
      <c r="H14" s="69">
        <v>4.9</v>
      </c>
      <c r="I14" s="69" t="s">
        <v>132</v>
      </c>
      <c r="J14" s="69" t="s">
        <v>132</v>
      </c>
      <c r="K14" s="69"/>
      <c r="L14" s="69" t="s">
        <v>132</v>
      </c>
      <c r="M14" s="69" t="s">
        <v>132</v>
      </c>
      <c r="N14" s="65">
        <f t="shared" si="0"/>
        <v>16.536441410787234</v>
      </c>
      <c r="O14" s="65">
        <f t="shared" si="1"/>
        <v>3.9635585892127665</v>
      </c>
      <c r="P14" s="66">
        <f t="shared" si="2"/>
        <v>18.518220705393617</v>
      </c>
      <c r="Q14" s="65">
        <f t="shared" si="3"/>
        <v>325.82565918052046</v>
      </c>
      <c r="R14" s="66">
        <f t="shared" si="4"/>
        <v>11.985753475862454</v>
      </c>
      <c r="S14" s="67">
        <f t="shared" si="10"/>
        <v>-1</v>
      </c>
      <c r="T14" s="67">
        <f t="shared" si="6"/>
        <v>-0.7000000000000455</v>
      </c>
      <c r="U14" s="67">
        <f t="shared" si="7"/>
        <v>0.29106449945243185</v>
      </c>
      <c r="V14" s="67">
        <f t="shared" si="8"/>
        <v>0.3000000000000007</v>
      </c>
      <c r="W14" s="67">
        <f t="shared" si="9"/>
        <v>1.0394488009409883</v>
      </c>
      <c r="X14">
        <f t="shared" si="5"/>
        <v>0</v>
      </c>
    </row>
    <row r="15" spans="1:24" ht="13.5">
      <c r="A15" s="14">
        <v>27</v>
      </c>
      <c r="B15" s="73">
        <v>10</v>
      </c>
      <c r="C15" s="69">
        <v>1002.9</v>
      </c>
      <c r="D15" s="69">
        <v>1007.8</v>
      </c>
      <c r="E15" s="69">
        <v>20.2</v>
      </c>
      <c r="F15" s="69">
        <v>82</v>
      </c>
      <c r="G15" s="70" t="s">
        <v>138</v>
      </c>
      <c r="H15" s="69">
        <v>6.7</v>
      </c>
      <c r="I15" s="69" t="s">
        <v>132</v>
      </c>
      <c r="J15" s="69" t="s">
        <v>132</v>
      </c>
      <c r="K15" s="69"/>
      <c r="L15" s="69" t="s">
        <v>132</v>
      </c>
      <c r="M15" s="69" t="s">
        <v>132</v>
      </c>
      <c r="N15" s="65">
        <f t="shared" si="0"/>
        <v>17.03180200215428</v>
      </c>
      <c r="O15" s="65">
        <f t="shared" si="1"/>
        <v>3.16819799784572</v>
      </c>
      <c r="P15" s="66">
        <f t="shared" si="2"/>
        <v>18.61590100107714</v>
      </c>
      <c r="Q15" s="65">
        <f t="shared" si="3"/>
        <v>326.51292930899393</v>
      </c>
      <c r="R15" s="66">
        <f t="shared" si="4"/>
        <v>12.388870233253261</v>
      </c>
      <c r="S15" s="67">
        <f t="shared" si="10"/>
        <v>-1.2000000000000455</v>
      </c>
      <c r="T15" s="67">
        <f t="shared" si="6"/>
        <v>-0.5</v>
      </c>
      <c r="U15" s="67">
        <f t="shared" si="7"/>
        <v>0.4953605913670458</v>
      </c>
      <c r="V15" s="67">
        <f t="shared" si="8"/>
        <v>-0.3000000000000007</v>
      </c>
      <c r="W15" s="67">
        <f t="shared" si="9"/>
        <v>0.6872701284734717</v>
      </c>
      <c r="X15">
        <f t="shared" si="5"/>
        <v>0</v>
      </c>
    </row>
    <row r="16" spans="1:24" ht="13.5">
      <c r="A16" s="14">
        <v>27</v>
      </c>
      <c r="B16" s="73">
        <v>11</v>
      </c>
      <c r="C16" s="69">
        <v>1002</v>
      </c>
      <c r="D16" s="69">
        <v>1006.9</v>
      </c>
      <c r="E16" s="69">
        <v>19.4</v>
      </c>
      <c r="F16" s="69">
        <v>89</v>
      </c>
      <c r="G16" s="70" t="s">
        <v>138</v>
      </c>
      <c r="H16" s="69">
        <v>5.9</v>
      </c>
      <c r="I16" s="69">
        <v>5</v>
      </c>
      <c r="J16" s="69" t="s">
        <v>132</v>
      </c>
      <c r="K16" s="69"/>
      <c r="L16" s="69" t="s">
        <v>132</v>
      </c>
      <c r="M16" s="69" t="s">
        <v>132</v>
      </c>
      <c r="N16" s="65">
        <f t="shared" si="0"/>
        <v>17.5415941982381</v>
      </c>
      <c r="O16" s="65">
        <f t="shared" si="1"/>
        <v>1.8584058017618972</v>
      </c>
      <c r="P16" s="66">
        <f t="shared" si="2"/>
        <v>18.47079709911905</v>
      </c>
      <c r="Q16" s="65">
        <f t="shared" si="3"/>
        <v>326.66829308324714</v>
      </c>
      <c r="R16" s="66">
        <f t="shared" si="4"/>
        <v>12.821726658488222</v>
      </c>
      <c r="S16" s="67">
        <f t="shared" si="10"/>
        <v>-2.1000000000000227</v>
      </c>
      <c r="T16" s="67">
        <f t="shared" si="6"/>
        <v>-0.8999999999999773</v>
      </c>
      <c r="U16" s="67">
        <f t="shared" si="7"/>
        <v>0.5097921960838221</v>
      </c>
      <c r="V16" s="67">
        <f t="shared" si="8"/>
        <v>-0.8000000000000007</v>
      </c>
      <c r="W16" s="67">
        <f t="shared" si="9"/>
        <v>0.15536377425320325</v>
      </c>
      <c r="X16">
        <f t="shared" si="5"/>
        <v>0</v>
      </c>
    </row>
    <row r="17" spans="1:24" ht="13.5">
      <c r="A17" s="14">
        <v>27</v>
      </c>
      <c r="B17" s="73">
        <v>12</v>
      </c>
      <c r="C17" s="69">
        <v>1000.5</v>
      </c>
      <c r="D17" s="69">
        <v>1005.4</v>
      </c>
      <c r="E17" s="69">
        <v>19.1</v>
      </c>
      <c r="F17" s="69">
        <v>90</v>
      </c>
      <c r="G17" s="70" t="s">
        <v>138</v>
      </c>
      <c r="H17" s="69">
        <v>6.1</v>
      </c>
      <c r="I17" s="69">
        <v>7.5</v>
      </c>
      <c r="J17" s="69" t="s">
        <v>132</v>
      </c>
      <c r="K17" s="69"/>
      <c r="L17" s="69" t="s">
        <v>132</v>
      </c>
      <c r="M17" s="69" t="s">
        <v>132</v>
      </c>
      <c r="N17" s="65">
        <f t="shared" si="0"/>
        <v>17.422462020004446</v>
      </c>
      <c r="O17" s="65">
        <f t="shared" si="1"/>
        <v>1.6775379799955559</v>
      </c>
      <c r="P17" s="66">
        <f t="shared" si="2"/>
        <v>18.261231010002223</v>
      </c>
      <c r="Q17" s="65">
        <f t="shared" si="3"/>
        <v>326.23288244808793</v>
      </c>
      <c r="R17" s="66">
        <f t="shared" si="4"/>
        <v>12.741532910072506</v>
      </c>
      <c r="S17" s="67">
        <f t="shared" si="10"/>
        <v>-2.8999999999999773</v>
      </c>
      <c r="T17" s="67">
        <f t="shared" si="6"/>
        <v>-1.5</v>
      </c>
      <c r="U17" s="67">
        <f t="shared" si="7"/>
        <v>-0.11913217823365585</v>
      </c>
      <c r="V17" s="67">
        <f t="shared" si="8"/>
        <v>-0.29999999999999716</v>
      </c>
      <c r="W17" s="67">
        <f t="shared" si="9"/>
        <v>-0.43541063515920087</v>
      </c>
      <c r="X17">
        <f t="shared" si="5"/>
        <v>0</v>
      </c>
    </row>
    <row r="18" spans="1:24" ht="13.5">
      <c r="A18" s="14">
        <v>27</v>
      </c>
      <c r="B18" s="73">
        <v>13</v>
      </c>
      <c r="C18" s="69">
        <v>998.7</v>
      </c>
      <c r="D18" s="69">
        <v>1003.6</v>
      </c>
      <c r="E18" s="69">
        <v>20.1</v>
      </c>
      <c r="F18" s="69">
        <v>89</v>
      </c>
      <c r="G18" s="70" t="s">
        <v>137</v>
      </c>
      <c r="H18" s="69">
        <v>4.1</v>
      </c>
      <c r="I18" s="69">
        <v>3</v>
      </c>
      <c r="J18" s="69">
        <v>0.1</v>
      </c>
      <c r="K18" s="69"/>
      <c r="L18" s="69" t="s">
        <v>132</v>
      </c>
      <c r="M18" s="69" t="s">
        <v>132</v>
      </c>
      <c r="N18" s="65">
        <f t="shared" si="0"/>
        <v>18.231719769831557</v>
      </c>
      <c r="O18" s="65">
        <f t="shared" si="1"/>
        <v>1.8682802301684447</v>
      </c>
      <c r="P18" s="66">
        <f t="shared" si="2"/>
        <v>19.16585988491578</v>
      </c>
      <c r="Q18" s="65">
        <f t="shared" si="3"/>
        <v>329.4808804432899</v>
      </c>
      <c r="R18" s="66">
        <f t="shared" si="4"/>
        <v>13.458517118395173</v>
      </c>
      <c r="S18" s="67">
        <f t="shared" si="10"/>
        <v>-4.199999999999932</v>
      </c>
      <c r="T18" s="67">
        <f t="shared" si="6"/>
        <v>-1.7999999999999545</v>
      </c>
      <c r="U18" s="67">
        <f t="shared" si="7"/>
        <v>0.8092577498271112</v>
      </c>
      <c r="V18" s="67">
        <f t="shared" si="8"/>
        <v>1</v>
      </c>
      <c r="W18" s="67">
        <f t="shared" si="9"/>
        <v>3.247997995201956</v>
      </c>
      <c r="X18">
        <f t="shared" si="5"/>
        <v>22.5</v>
      </c>
    </row>
    <row r="19" spans="1:24" ht="13.5">
      <c r="A19" s="14">
        <v>27</v>
      </c>
      <c r="B19" s="73">
        <v>14</v>
      </c>
      <c r="C19" s="69">
        <v>999.1</v>
      </c>
      <c r="D19" s="69">
        <v>1004</v>
      </c>
      <c r="E19" s="69">
        <v>20.4</v>
      </c>
      <c r="F19" s="69">
        <v>87</v>
      </c>
      <c r="G19" s="70" t="s">
        <v>138</v>
      </c>
      <c r="H19" s="69">
        <v>4.8</v>
      </c>
      <c r="I19" s="69">
        <v>0</v>
      </c>
      <c r="J19" s="69" t="s">
        <v>132</v>
      </c>
      <c r="K19" s="69"/>
      <c r="L19" s="69" t="s">
        <v>132</v>
      </c>
      <c r="M19" s="69" t="s">
        <v>132</v>
      </c>
      <c r="N19" s="65">
        <f t="shared" si="0"/>
        <v>18.165364195785173</v>
      </c>
      <c r="O19" s="65">
        <f t="shared" si="1"/>
        <v>2.2346358042148253</v>
      </c>
      <c r="P19" s="66">
        <f t="shared" si="2"/>
        <v>19.282682097892586</v>
      </c>
      <c r="Q19" s="65">
        <f t="shared" si="3"/>
        <v>329.66941717504136</v>
      </c>
      <c r="R19" s="66">
        <f t="shared" si="4"/>
        <v>13.394896454127368</v>
      </c>
      <c r="S19" s="67">
        <f t="shared" si="10"/>
        <v>-2.8999999999999773</v>
      </c>
      <c r="T19" s="67">
        <f t="shared" si="6"/>
        <v>0.39999999999997726</v>
      </c>
      <c r="U19" s="67">
        <f t="shared" si="7"/>
        <v>-0.06635557404638348</v>
      </c>
      <c r="V19" s="67">
        <f t="shared" si="8"/>
        <v>0.29999999999999716</v>
      </c>
      <c r="W19" s="67">
        <f t="shared" si="9"/>
        <v>0.18853673175146923</v>
      </c>
      <c r="X19">
        <f t="shared" si="5"/>
        <v>0</v>
      </c>
    </row>
    <row r="20" spans="1:24" ht="13.5">
      <c r="A20" s="14">
        <v>27</v>
      </c>
      <c r="B20" s="73">
        <v>15</v>
      </c>
      <c r="C20" s="69">
        <v>999.5</v>
      </c>
      <c r="D20" s="69">
        <v>1004.4</v>
      </c>
      <c r="E20" s="69">
        <v>21</v>
      </c>
      <c r="F20" s="69">
        <v>85</v>
      </c>
      <c r="G20" s="70" t="s">
        <v>138</v>
      </c>
      <c r="H20" s="69">
        <v>4.9</v>
      </c>
      <c r="I20" s="69" t="s">
        <v>132</v>
      </c>
      <c r="J20" s="69" t="s">
        <v>132</v>
      </c>
      <c r="K20" s="69"/>
      <c r="L20" s="69" t="s">
        <v>132</v>
      </c>
      <c r="M20" s="69" t="s">
        <v>132</v>
      </c>
      <c r="N20" s="65">
        <f t="shared" si="0"/>
        <v>18.384064768870473</v>
      </c>
      <c r="O20" s="65">
        <f t="shared" si="1"/>
        <v>2.6159352311295265</v>
      </c>
      <c r="P20" s="66">
        <f t="shared" si="2"/>
        <v>19.692032384435237</v>
      </c>
      <c r="Q20" s="65">
        <f t="shared" si="3"/>
        <v>330.8765847346078</v>
      </c>
      <c r="R20" s="66">
        <f t="shared" si="4"/>
        <v>13.581758389655386</v>
      </c>
      <c r="S20" s="67">
        <f t="shared" si="10"/>
        <v>-1</v>
      </c>
      <c r="T20" s="67">
        <f t="shared" si="6"/>
        <v>0.39999999999997726</v>
      </c>
      <c r="U20" s="67">
        <f t="shared" si="7"/>
        <v>0.21870057308530022</v>
      </c>
      <c r="V20" s="67">
        <f t="shared" si="8"/>
        <v>0.6000000000000014</v>
      </c>
      <c r="W20" s="67">
        <f t="shared" si="9"/>
        <v>1.2071675595664146</v>
      </c>
      <c r="X20">
        <f t="shared" si="5"/>
        <v>0</v>
      </c>
    </row>
    <row r="21" spans="1:24" ht="13.5">
      <c r="A21" s="14">
        <v>27</v>
      </c>
      <c r="B21" s="73">
        <v>16</v>
      </c>
      <c r="C21" s="69">
        <v>1000</v>
      </c>
      <c r="D21" s="69">
        <v>1004.9</v>
      </c>
      <c r="E21" s="69">
        <v>22.1</v>
      </c>
      <c r="F21" s="69">
        <v>80</v>
      </c>
      <c r="G21" s="70" t="s">
        <v>138</v>
      </c>
      <c r="H21" s="69">
        <v>4.2</v>
      </c>
      <c r="I21" s="69" t="s">
        <v>132</v>
      </c>
      <c r="J21" s="69">
        <v>0.3</v>
      </c>
      <c r="K21" s="69"/>
      <c r="L21" s="69" t="s">
        <v>132</v>
      </c>
      <c r="M21" s="69" t="s">
        <v>132</v>
      </c>
      <c r="N21" s="65">
        <f t="shared" si="0"/>
        <v>18.49181809324267</v>
      </c>
      <c r="O21" s="65">
        <f t="shared" si="1"/>
        <v>3.6081819067573306</v>
      </c>
      <c r="P21" s="66">
        <f t="shared" si="2"/>
        <v>20.295909046621336</v>
      </c>
      <c r="Q21" s="65">
        <f t="shared" si="3"/>
        <v>332.4803774514585</v>
      </c>
      <c r="R21" s="66">
        <f t="shared" si="4"/>
        <v>13.670461638718143</v>
      </c>
      <c r="S21" s="67">
        <f t="shared" si="10"/>
        <v>1.2999999999999545</v>
      </c>
      <c r="T21" s="67">
        <f t="shared" si="6"/>
        <v>0.5</v>
      </c>
      <c r="U21" s="67">
        <f t="shared" si="7"/>
        <v>0.10775332437219731</v>
      </c>
      <c r="V21" s="67">
        <f t="shared" si="8"/>
        <v>1.1000000000000014</v>
      </c>
      <c r="W21" s="67">
        <f t="shared" si="9"/>
        <v>1.6037927168507053</v>
      </c>
      <c r="X21">
        <f t="shared" si="5"/>
        <v>0</v>
      </c>
    </row>
    <row r="22" spans="1:24" ht="13.5">
      <c r="A22" s="14">
        <v>27</v>
      </c>
      <c r="B22" s="73">
        <v>17</v>
      </c>
      <c r="C22" s="69">
        <v>1000.8</v>
      </c>
      <c r="D22" s="69">
        <v>1005.7</v>
      </c>
      <c r="E22" s="69">
        <v>22.2</v>
      </c>
      <c r="F22" s="69">
        <v>79</v>
      </c>
      <c r="G22" s="70" t="s">
        <v>146</v>
      </c>
      <c r="H22" s="69">
        <v>1.2</v>
      </c>
      <c r="I22" s="69" t="s">
        <v>132</v>
      </c>
      <c r="J22" s="69">
        <v>0.5</v>
      </c>
      <c r="K22" s="69"/>
      <c r="L22" s="69" t="s">
        <v>132</v>
      </c>
      <c r="M22" s="69" t="s">
        <v>132</v>
      </c>
      <c r="N22" s="65">
        <f t="shared" si="0"/>
        <v>18.388490703557977</v>
      </c>
      <c r="O22" s="65">
        <f t="shared" si="1"/>
        <v>3.811509296442022</v>
      </c>
      <c r="P22" s="66">
        <f t="shared" si="2"/>
        <v>20.29424535177899</v>
      </c>
      <c r="Q22" s="65">
        <f t="shared" si="3"/>
        <v>332.2683209297545</v>
      </c>
      <c r="R22" s="66">
        <f t="shared" si="4"/>
        <v>13.567644608656073</v>
      </c>
      <c r="S22" s="67">
        <f t="shared" si="10"/>
        <v>1.7000000000000455</v>
      </c>
      <c r="T22" s="67">
        <f t="shared" si="6"/>
        <v>0.8000000000000682</v>
      </c>
      <c r="U22" s="67">
        <f t="shared" si="7"/>
        <v>-0.10332738968469357</v>
      </c>
      <c r="V22" s="67">
        <f t="shared" si="8"/>
        <v>0.09999999999999787</v>
      </c>
      <c r="W22" s="67">
        <f t="shared" si="9"/>
        <v>-0.21205652170397116</v>
      </c>
      <c r="X22">
        <f t="shared" si="5"/>
        <v>45</v>
      </c>
    </row>
    <row r="23" spans="1:24" ht="13.5">
      <c r="A23" s="14">
        <v>27</v>
      </c>
      <c r="B23" s="73">
        <v>18</v>
      </c>
      <c r="C23" s="69">
        <v>1001.4</v>
      </c>
      <c r="D23" s="69">
        <v>1006.3</v>
      </c>
      <c r="E23" s="69">
        <v>21</v>
      </c>
      <c r="F23" s="69">
        <v>85</v>
      </c>
      <c r="G23" s="70" t="s">
        <v>136</v>
      </c>
      <c r="H23" s="69">
        <v>1.6</v>
      </c>
      <c r="I23" s="69" t="s">
        <v>132</v>
      </c>
      <c r="J23" s="69">
        <v>0.1</v>
      </c>
      <c r="K23" s="69"/>
      <c r="L23" s="69" t="s">
        <v>132</v>
      </c>
      <c r="M23" s="69" t="s">
        <v>132</v>
      </c>
      <c r="N23" s="65">
        <f t="shared" si="0"/>
        <v>18.384064768870473</v>
      </c>
      <c r="O23" s="65">
        <f t="shared" si="1"/>
        <v>2.6159352311295265</v>
      </c>
      <c r="P23" s="66">
        <f t="shared" si="2"/>
        <v>19.692032384435237</v>
      </c>
      <c r="Q23" s="65">
        <f t="shared" si="3"/>
        <v>330.6217676853833</v>
      </c>
      <c r="R23" s="66">
        <f t="shared" si="4"/>
        <v>13.555427528594212</v>
      </c>
      <c r="S23" s="67">
        <f t="shared" si="10"/>
        <v>1.8999999999999773</v>
      </c>
      <c r="T23" s="67">
        <f t="shared" si="6"/>
        <v>0.599999999999909</v>
      </c>
      <c r="U23" s="67">
        <f t="shared" si="7"/>
        <v>-0.004425934687503741</v>
      </c>
      <c r="V23" s="67">
        <f t="shared" si="8"/>
        <v>-1.1999999999999993</v>
      </c>
      <c r="W23" s="67">
        <f t="shared" si="9"/>
        <v>-1.646553244371205</v>
      </c>
      <c r="X23">
        <f t="shared" si="5"/>
        <v>157.5</v>
      </c>
    </row>
    <row r="24" spans="1:24" ht="13.5">
      <c r="A24" s="14">
        <v>27</v>
      </c>
      <c r="B24" s="73">
        <v>19</v>
      </c>
      <c r="C24" s="69">
        <v>1002</v>
      </c>
      <c r="D24" s="69">
        <v>1006.9</v>
      </c>
      <c r="E24" s="69">
        <v>20.9</v>
      </c>
      <c r="F24" s="69">
        <v>86</v>
      </c>
      <c r="G24" s="70" t="s">
        <v>136</v>
      </c>
      <c r="H24" s="69">
        <v>2</v>
      </c>
      <c r="I24" s="69" t="s">
        <v>132</v>
      </c>
      <c r="J24" s="69"/>
      <c r="K24" s="69"/>
      <c r="L24" s="69" t="s">
        <v>132</v>
      </c>
      <c r="M24" s="69" t="s">
        <v>132</v>
      </c>
      <c r="N24" s="65">
        <f t="shared" si="0"/>
        <v>18.472425461182354</v>
      </c>
      <c r="O24" s="65">
        <f t="shared" si="1"/>
        <v>2.4275745388176446</v>
      </c>
      <c r="P24" s="66">
        <f t="shared" si="2"/>
        <v>19.686212730591176</v>
      </c>
      <c r="Q24" s="65">
        <f t="shared" si="3"/>
        <v>330.6088994950054</v>
      </c>
      <c r="R24" s="66">
        <f t="shared" si="4"/>
        <v>13.625354350327777</v>
      </c>
      <c r="S24" s="67">
        <f t="shared" si="10"/>
        <v>2</v>
      </c>
      <c r="T24" s="67">
        <f t="shared" si="6"/>
        <v>0.6000000000000227</v>
      </c>
      <c r="U24" s="67">
        <f t="shared" si="7"/>
        <v>0.08836069231188048</v>
      </c>
      <c r="V24" s="67">
        <f t="shared" si="8"/>
        <v>-0.10000000000000142</v>
      </c>
      <c r="W24" s="67">
        <f t="shared" si="9"/>
        <v>-0.012868190377901101</v>
      </c>
      <c r="X24">
        <f t="shared" si="5"/>
        <v>157.5</v>
      </c>
    </row>
    <row r="25" spans="1:24" ht="13.5">
      <c r="A25" s="14">
        <v>27</v>
      </c>
      <c r="B25" s="73">
        <v>20</v>
      </c>
      <c r="C25" s="69">
        <v>1002.6</v>
      </c>
      <c r="D25" s="69">
        <v>1007.5</v>
      </c>
      <c r="E25" s="69">
        <v>20.7</v>
      </c>
      <c r="F25" s="69">
        <v>86</v>
      </c>
      <c r="G25" s="70" t="s">
        <v>136</v>
      </c>
      <c r="H25" s="69">
        <v>2.1</v>
      </c>
      <c r="I25" s="69" t="s">
        <v>132</v>
      </c>
      <c r="J25" s="69"/>
      <c r="K25" s="69"/>
      <c r="L25" s="69" t="s">
        <v>132</v>
      </c>
      <c r="M25" s="69" t="s">
        <v>132</v>
      </c>
      <c r="N25" s="65">
        <f t="shared" si="0"/>
        <v>18.276079816472873</v>
      </c>
      <c r="O25" s="65">
        <f t="shared" si="1"/>
        <v>2.4239201835271267</v>
      </c>
      <c r="P25" s="66">
        <f t="shared" si="2"/>
        <v>19.488039908236438</v>
      </c>
      <c r="Q25" s="65">
        <f t="shared" si="3"/>
        <v>329.8342493910346</v>
      </c>
      <c r="R25" s="66">
        <f t="shared" si="4"/>
        <v>13.443875144550958</v>
      </c>
      <c r="S25" s="67">
        <f t="shared" si="10"/>
        <v>1.7999999999999545</v>
      </c>
      <c r="T25" s="67">
        <f t="shared" si="6"/>
        <v>0.6000000000000227</v>
      </c>
      <c r="U25" s="67">
        <f t="shared" si="7"/>
        <v>-0.19634564470948135</v>
      </c>
      <c r="V25" s="67">
        <f t="shared" si="8"/>
        <v>-0.1999999999999993</v>
      </c>
      <c r="W25" s="67">
        <f t="shared" si="9"/>
        <v>-0.7746501039708278</v>
      </c>
      <c r="X25">
        <f t="shared" si="5"/>
        <v>157.5</v>
      </c>
    </row>
    <row r="26" spans="1:24" ht="13.5">
      <c r="A26" s="14">
        <v>27</v>
      </c>
      <c r="B26" s="73">
        <v>21</v>
      </c>
      <c r="C26" s="69">
        <v>1003.2</v>
      </c>
      <c r="D26" s="69">
        <v>1008.1</v>
      </c>
      <c r="E26" s="69">
        <v>20.3</v>
      </c>
      <c r="F26" s="69">
        <v>89</v>
      </c>
      <c r="G26" s="70" t="s">
        <v>136</v>
      </c>
      <c r="H26" s="69">
        <v>1.2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18.428893733110613</v>
      </c>
      <c r="O26" s="65">
        <f t="shared" si="1"/>
        <v>1.871106266889388</v>
      </c>
      <c r="P26" s="66">
        <f t="shared" si="2"/>
        <v>19.364446866555305</v>
      </c>
      <c r="Q26" s="65">
        <f t="shared" si="3"/>
        <v>329.5745489638251</v>
      </c>
      <c r="R26" s="66">
        <f t="shared" si="4"/>
        <v>13.570159972292192</v>
      </c>
      <c r="S26" s="67">
        <f t="shared" si="10"/>
        <v>1.8000000000000682</v>
      </c>
      <c r="T26" s="67">
        <f t="shared" si="6"/>
        <v>0.6000000000000227</v>
      </c>
      <c r="U26" s="67">
        <f t="shared" si="7"/>
        <v>0.15281391663774002</v>
      </c>
      <c r="V26" s="67">
        <f t="shared" si="8"/>
        <v>-0.3999999999999986</v>
      </c>
      <c r="W26" s="67">
        <f t="shared" si="9"/>
        <v>-0.2597004272094523</v>
      </c>
      <c r="X26">
        <f t="shared" si="5"/>
        <v>157.5</v>
      </c>
    </row>
    <row r="27" spans="1:24" ht="13.5">
      <c r="A27" s="14">
        <v>27</v>
      </c>
      <c r="B27" s="73">
        <v>22</v>
      </c>
      <c r="C27" s="69">
        <v>1003.2</v>
      </c>
      <c r="D27" s="69">
        <v>1008.1</v>
      </c>
      <c r="E27" s="69">
        <v>20.1</v>
      </c>
      <c r="F27" s="69">
        <v>90</v>
      </c>
      <c r="G27" s="70" t="s">
        <v>136</v>
      </c>
      <c r="H27" s="69">
        <v>1.6</v>
      </c>
      <c r="I27" s="69" t="s">
        <v>132</v>
      </c>
      <c r="J27" s="69"/>
      <c r="K27" s="69"/>
      <c r="L27" s="69" t="s">
        <v>132</v>
      </c>
      <c r="M27" s="69" t="s">
        <v>132</v>
      </c>
      <c r="N27" s="65">
        <f t="shared" si="0"/>
        <v>18.409702438093234</v>
      </c>
      <c r="O27" s="65">
        <f t="shared" si="1"/>
        <v>1.6902975619067675</v>
      </c>
      <c r="P27" s="66">
        <f t="shared" si="2"/>
        <v>19.254851219046618</v>
      </c>
      <c r="Q27" s="65">
        <f t="shared" si="3"/>
        <v>329.27340904952524</v>
      </c>
      <c r="R27" s="66">
        <f t="shared" si="4"/>
        <v>13.553201308895215</v>
      </c>
      <c r="S27" s="67">
        <f t="shared" si="10"/>
        <v>1.2000000000000455</v>
      </c>
      <c r="T27" s="68">
        <f t="shared" si="6"/>
        <v>0</v>
      </c>
      <c r="U27" s="68">
        <f t="shared" si="7"/>
        <v>-0.019191295017378707</v>
      </c>
      <c r="V27" s="68">
        <f t="shared" si="8"/>
        <v>-0.1999999999999993</v>
      </c>
      <c r="W27" s="67">
        <f t="shared" si="9"/>
        <v>-0.3011399142998812</v>
      </c>
      <c r="X27">
        <f t="shared" si="5"/>
        <v>157.5</v>
      </c>
    </row>
    <row r="28" spans="1:24" ht="13.5">
      <c r="A28" s="14">
        <v>27</v>
      </c>
      <c r="B28" s="73">
        <v>23</v>
      </c>
      <c r="C28" s="69">
        <v>1003.2</v>
      </c>
      <c r="D28" s="69">
        <v>1008.1</v>
      </c>
      <c r="E28" s="69">
        <v>19.9</v>
      </c>
      <c r="F28" s="69">
        <v>89</v>
      </c>
      <c r="G28" s="70" t="s">
        <v>141</v>
      </c>
      <c r="H28" s="69">
        <v>1.2</v>
      </c>
      <c r="I28" s="69" t="s">
        <v>132</v>
      </c>
      <c r="J28" s="69"/>
      <c r="K28" s="69"/>
      <c r="L28" s="69" t="s">
        <v>132</v>
      </c>
      <c r="M28" s="69" t="s">
        <v>132</v>
      </c>
      <c r="N28" s="65">
        <f t="shared" si="0"/>
        <v>18.03454368593117</v>
      </c>
      <c r="O28" s="65">
        <f t="shared" si="1"/>
        <v>1.8654563140688296</v>
      </c>
      <c r="P28" s="66">
        <f t="shared" si="2"/>
        <v>18.967271842965584</v>
      </c>
      <c r="Q28" s="65">
        <f t="shared" si="3"/>
        <v>328.19772392852485</v>
      </c>
      <c r="R28" s="66">
        <f t="shared" si="4"/>
        <v>13.225561061430268</v>
      </c>
      <c r="S28" s="67">
        <f t="shared" si="10"/>
        <v>0.6000000000000227</v>
      </c>
      <c r="T28" s="68">
        <f t="shared" si="6"/>
        <v>0</v>
      </c>
      <c r="U28" s="68">
        <f t="shared" si="7"/>
        <v>-0.37515875216206496</v>
      </c>
      <c r="V28" s="68">
        <f t="shared" si="8"/>
        <v>-0.20000000000000284</v>
      </c>
      <c r="W28" s="67">
        <f t="shared" si="9"/>
        <v>-1.0756851210003902</v>
      </c>
      <c r="X28">
        <f t="shared" si="5"/>
        <v>247.5</v>
      </c>
    </row>
    <row r="29" spans="1:24" ht="13.5">
      <c r="A29" s="14">
        <v>27</v>
      </c>
      <c r="B29" s="73">
        <v>24</v>
      </c>
      <c r="C29" s="69">
        <v>1003.2</v>
      </c>
      <c r="D29" s="69">
        <v>1008.1</v>
      </c>
      <c r="E29" s="69">
        <v>20</v>
      </c>
      <c r="F29" s="69">
        <v>90</v>
      </c>
      <c r="G29" s="70" t="s">
        <v>138</v>
      </c>
      <c r="H29" s="69">
        <v>1.4</v>
      </c>
      <c r="I29" s="69" t="s">
        <v>132</v>
      </c>
      <c r="J29" s="69"/>
      <c r="K29" s="69"/>
      <c r="L29" s="69" t="s">
        <v>132</v>
      </c>
      <c r="M29" s="69" t="s">
        <v>132</v>
      </c>
      <c r="N29" s="65">
        <f t="shared" si="0"/>
        <v>18.310980557702692</v>
      </c>
      <c r="O29" s="65">
        <f t="shared" si="1"/>
        <v>1.6890194422973082</v>
      </c>
      <c r="P29" s="66">
        <f t="shared" si="2"/>
        <v>19.155490278851346</v>
      </c>
      <c r="Q29" s="65">
        <f t="shared" si="3"/>
        <v>328.9272191853758</v>
      </c>
      <c r="R29" s="66">
        <f t="shared" si="4"/>
        <v>13.466270690485246</v>
      </c>
      <c r="S29" s="67">
        <f t="shared" si="10"/>
        <v>0</v>
      </c>
      <c r="T29" s="68">
        <f t="shared" si="6"/>
        <v>0</v>
      </c>
      <c r="U29" s="68">
        <f t="shared" si="7"/>
        <v>0.2764368717715229</v>
      </c>
      <c r="V29" s="68">
        <f t="shared" si="8"/>
        <v>0.10000000000000142</v>
      </c>
      <c r="W29" s="67">
        <f t="shared" si="9"/>
        <v>0.729495256850953</v>
      </c>
      <c r="X29">
        <f t="shared" si="5"/>
        <v>0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29"/>
  <sheetViews>
    <sheetView workbookViewId="0" topLeftCell="Z1">
      <selection activeCell="AF1" sqref="AF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千葉</v>
      </c>
    </row>
    <row r="2" ht="17.25" customHeight="1">
      <c r="B2" t="s">
        <v>155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149</v>
      </c>
      <c r="M4" s="59" t="s">
        <v>149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1007.6</v>
      </c>
      <c r="D6" s="69">
        <v>1009.9</v>
      </c>
      <c r="E6" s="69">
        <v>17</v>
      </c>
      <c r="F6" s="69">
        <v>93</v>
      </c>
      <c r="G6" s="70" t="s">
        <v>135</v>
      </c>
      <c r="H6" s="69">
        <v>6.5</v>
      </c>
      <c r="I6" s="69">
        <v>1</v>
      </c>
      <c r="J6" s="69"/>
      <c r="K6" s="69"/>
      <c r="L6" s="69"/>
      <c r="M6" s="69"/>
      <c r="N6" s="65">
        <f aca="true" t="shared" si="0" ref="N6:N29">4303.4/(19.482-LN(EXP(19.482-4303.4/(E6+243.5))*F6/100))-243.5</f>
        <v>15.860639001740935</v>
      </c>
      <c r="O6" s="65">
        <f aca="true" t="shared" si="1" ref="O6:O29">E6-N6</f>
        <v>1.1393609982590647</v>
      </c>
      <c r="P6" s="66">
        <f aca="true" t="shared" si="2" ref="P6:P29">(E6+N6)/2</f>
        <v>16.430319500870468</v>
      </c>
      <c r="Q6" s="65">
        <f aca="true" t="shared" si="3" ref="Q6:Q29">EPT(E6,F6,C6)</f>
        <v>319.6448873350064</v>
      </c>
      <c r="R6" s="66">
        <f aca="true" t="shared" si="4" ref="R6:R29">q(E6,F6,C6)</f>
        <v>11.414463187577043</v>
      </c>
      <c r="S6" s="67"/>
      <c r="T6" s="67"/>
      <c r="U6" s="67"/>
      <c r="V6" s="67"/>
      <c r="W6" s="14"/>
      <c r="X6">
        <f aca="true" t="shared" si="5" ref="X6:X29">fuukou_get(G6)</f>
        <v>337.5</v>
      </c>
    </row>
    <row r="7" spans="1:24" ht="13.5">
      <c r="A7" s="14">
        <v>27</v>
      </c>
      <c r="B7" s="73">
        <v>2</v>
      </c>
      <c r="C7" s="69">
        <v>1006.9</v>
      </c>
      <c r="D7" s="69">
        <v>1009.2</v>
      </c>
      <c r="E7" s="69">
        <v>16.8</v>
      </c>
      <c r="F7" s="69">
        <v>93</v>
      </c>
      <c r="G7" s="70" t="s">
        <v>135</v>
      </c>
      <c r="H7" s="69">
        <v>5.6</v>
      </c>
      <c r="I7" s="69">
        <v>0</v>
      </c>
      <c r="J7" s="69"/>
      <c r="K7" s="69"/>
      <c r="L7" s="69"/>
      <c r="M7" s="69"/>
      <c r="N7" s="65">
        <f t="shared" si="0"/>
        <v>15.662384008729816</v>
      </c>
      <c r="O7" s="65">
        <f t="shared" si="1"/>
        <v>1.1376159912701844</v>
      </c>
      <c r="P7" s="66">
        <f t="shared" si="2"/>
        <v>16.231192004364907</v>
      </c>
      <c r="Q7" s="65">
        <f t="shared" si="3"/>
        <v>319.1197413602673</v>
      </c>
      <c r="R7" s="66">
        <f t="shared" si="4"/>
        <v>11.273760971809663</v>
      </c>
      <c r="S7" s="67"/>
      <c r="T7" s="67">
        <f aca="true" t="shared" si="6" ref="T7:T29">D7-D6</f>
        <v>-0.6999999999999318</v>
      </c>
      <c r="U7" s="67">
        <f aca="true" t="shared" si="7" ref="U7:U29">N7-N6</f>
        <v>-0.19825499301111904</v>
      </c>
      <c r="V7" s="67">
        <f aca="true" t="shared" si="8" ref="V7:V29">E7-E6</f>
        <v>-0.1999999999999993</v>
      </c>
      <c r="W7" s="67">
        <f aca="true" t="shared" si="9" ref="W7:W29">Q7-Q6</f>
        <v>-0.5251459747390754</v>
      </c>
      <c r="X7">
        <f t="shared" si="5"/>
        <v>337.5</v>
      </c>
    </row>
    <row r="8" spans="1:24" ht="13.5">
      <c r="A8" s="14">
        <v>27</v>
      </c>
      <c r="B8" s="73">
        <v>3</v>
      </c>
      <c r="C8" s="69">
        <v>1007.2</v>
      </c>
      <c r="D8" s="69">
        <v>1009.5</v>
      </c>
      <c r="E8" s="69">
        <v>17.2</v>
      </c>
      <c r="F8" s="69">
        <v>92</v>
      </c>
      <c r="G8" s="70" t="s">
        <v>140</v>
      </c>
      <c r="H8" s="69">
        <v>5.1</v>
      </c>
      <c r="I8" s="69">
        <v>0</v>
      </c>
      <c r="J8" s="69"/>
      <c r="K8" s="69"/>
      <c r="L8" s="69"/>
      <c r="M8" s="69"/>
      <c r="N8" s="65">
        <f t="shared" si="0"/>
        <v>15.88975531645849</v>
      </c>
      <c r="O8" s="65">
        <f t="shared" si="1"/>
        <v>1.3102446835415087</v>
      </c>
      <c r="P8" s="66">
        <f t="shared" si="2"/>
        <v>16.544877658229247</v>
      </c>
      <c r="Q8" s="65">
        <f t="shared" si="3"/>
        <v>319.9950814360079</v>
      </c>
      <c r="R8" s="66">
        <f t="shared" si="4"/>
        <v>11.441073906751637</v>
      </c>
      <c r="S8" s="67"/>
      <c r="T8" s="67">
        <f t="shared" si="6"/>
        <v>0.2999999999999545</v>
      </c>
      <c r="U8" s="67">
        <f t="shared" si="7"/>
        <v>0.2273713077286743</v>
      </c>
      <c r="V8" s="67">
        <f t="shared" si="8"/>
        <v>0.3999999999999986</v>
      </c>
      <c r="W8" s="67">
        <f t="shared" si="9"/>
        <v>0.8753400757406098</v>
      </c>
      <c r="X8">
        <f t="shared" si="5"/>
        <v>315</v>
      </c>
    </row>
    <row r="9" spans="1:24" ht="13.5">
      <c r="A9" s="14">
        <v>27</v>
      </c>
      <c r="B9" s="73">
        <v>4</v>
      </c>
      <c r="C9" s="69">
        <v>1006.8</v>
      </c>
      <c r="D9" s="69">
        <v>1009.1</v>
      </c>
      <c r="E9" s="69">
        <v>17.6</v>
      </c>
      <c r="F9" s="69">
        <v>91</v>
      </c>
      <c r="G9" s="70" t="s">
        <v>135</v>
      </c>
      <c r="H9" s="69">
        <v>4.6</v>
      </c>
      <c r="I9" s="69">
        <v>0</v>
      </c>
      <c r="J9" s="69"/>
      <c r="K9" s="69"/>
      <c r="L9" s="69"/>
      <c r="M9" s="69"/>
      <c r="N9" s="65">
        <f t="shared" si="0"/>
        <v>16.1144581021926</v>
      </c>
      <c r="O9" s="65">
        <f t="shared" si="1"/>
        <v>1.4855418978074013</v>
      </c>
      <c r="P9" s="66">
        <f t="shared" si="2"/>
        <v>16.8572290510963</v>
      </c>
      <c r="Q9" s="65">
        <f t="shared" si="3"/>
        <v>320.96026209081515</v>
      </c>
      <c r="R9" s="66">
        <f t="shared" si="4"/>
        <v>11.616819243079549</v>
      </c>
      <c r="S9" s="67">
        <f aca="true" t="shared" si="10" ref="S9:S29">D9-D6</f>
        <v>-0.7999999999999545</v>
      </c>
      <c r="T9" s="67">
        <f t="shared" si="6"/>
        <v>-0.39999999999997726</v>
      </c>
      <c r="U9" s="67">
        <f t="shared" si="7"/>
        <v>0.2247027857341095</v>
      </c>
      <c r="V9" s="67">
        <f t="shared" si="8"/>
        <v>0.40000000000000213</v>
      </c>
      <c r="W9" s="67">
        <f t="shared" si="9"/>
        <v>0.9651806548072273</v>
      </c>
      <c r="X9">
        <f t="shared" si="5"/>
        <v>337.5</v>
      </c>
    </row>
    <row r="10" spans="1:24" ht="13.5">
      <c r="A10" s="14">
        <v>27</v>
      </c>
      <c r="B10" s="73">
        <v>5</v>
      </c>
      <c r="C10" s="69">
        <v>1006.3</v>
      </c>
      <c r="D10" s="69">
        <v>1008.6</v>
      </c>
      <c r="E10" s="69">
        <v>17.8</v>
      </c>
      <c r="F10" s="69">
        <v>91</v>
      </c>
      <c r="G10" s="70" t="s">
        <v>135</v>
      </c>
      <c r="H10" s="69">
        <v>3.8</v>
      </c>
      <c r="I10" s="69" t="s">
        <v>132</v>
      </c>
      <c r="J10" s="69"/>
      <c r="K10" s="69"/>
      <c r="L10" s="69"/>
      <c r="M10" s="69"/>
      <c r="N10" s="65">
        <f t="shared" si="0"/>
        <v>16.312187894056024</v>
      </c>
      <c r="O10" s="65">
        <f t="shared" si="1"/>
        <v>1.487812105943977</v>
      </c>
      <c r="P10" s="66">
        <f t="shared" si="2"/>
        <v>17.05609394702801</v>
      </c>
      <c r="Q10" s="65">
        <f t="shared" si="3"/>
        <v>321.6465225715672</v>
      </c>
      <c r="R10" s="66">
        <f t="shared" si="4"/>
        <v>11.775283137871975</v>
      </c>
      <c r="S10" s="67">
        <f t="shared" si="10"/>
        <v>-0.6000000000000227</v>
      </c>
      <c r="T10" s="67">
        <f t="shared" si="6"/>
        <v>-0.5</v>
      </c>
      <c r="U10" s="67">
        <f t="shared" si="7"/>
        <v>0.19772979186342354</v>
      </c>
      <c r="V10" s="67">
        <f t="shared" si="8"/>
        <v>0.1999999999999993</v>
      </c>
      <c r="W10" s="67">
        <f t="shared" si="9"/>
        <v>0.6862604807520256</v>
      </c>
      <c r="X10">
        <f t="shared" si="5"/>
        <v>337.5</v>
      </c>
    </row>
    <row r="11" spans="1:24" ht="13.5">
      <c r="A11" s="14">
        <v>27</v>
      </c>
      <c r="B11" s="73">
        <v>6</v>
      </c>
      <c r="C11" s="69">
        <v>1006.9</v>
      </c>
      <c r="D11" s="69">
        <v>1009.2</v>
      </c>
      <c r="E11" s="69">
        <v>18</v>
      </c>
      <c r="F11" s="69">
        <v>90</v>
      </c>
      <c r="G11" s="70" t="s">
        <v>135</v>
      </c>
      <c r="H11" s="69">
        <v>4.1</v>
      </c>
      <c r="I11" s="69" t="s">
        <v>132</v>
      </c>
      <c r="J11" s="69" t="s">
        <v>132</v>
      </c>
      <c r="K11" s="69"/>
      <c r="L11" s="69"/>
      <c r="M11" s="69"/>
      <c r="N11" s="65">
        <f t="shared" si="0"/>
        <v>16.336442081001735</v>
      </c>
      <c r="O11" s="65">
        <f t="shared" si="1"/>
        <v>1.663557918998265</v>
      </c>
      <c r="P11" s="66">
        <f t="shared" si="2"/>
        <v>17.168221040500868</v>
      </c>
      <c r="Q11" s="65">
        <f t="shared" si="3"/>
        <v>321.86733144662827</v>
      </c>
      <c r="R11" s="66">
        <f t="shared" si="4"/>
        <v>11.786963917526984</v>
      </c>
      <c r="S11" s="67">
        <f t="shared" si="10"/>
        <v>-0.2999999999999545</v>
      </c>
      <c r="T11" s="67">
        <f t="shared" si="6"/>
        <v>0.6000000000000227</v>
      </c>
      <c r="U11" s="67">
        <f t="shared" si="7"/>
        <v>0.024254186945711353</v>
      </c>
      <c r="V11" s="67">
        <f t="shared" si="8"/>
        <v>0.1999999999999993</v>
      </c>
      <c r="W11" s="67">
        <f t="shared" si="9"/>
        <v>0.22080887506109548</v>
      </c>
      <c r="X11">
        <f t="shared" si="5"/>
        <v>337.5</v>
      </c>
    </row>
    <row r="12" spans="1:24" ht="13.5">
      <c r="A12" s="14">
        <v>27</v>
      </c>
      <c r="B12" s="73">
        <v>7</v>
      </c>
      <c r="C12" s="69">
        <v>1006.9</v>
      </c>
      <c r="D12" s="69">
        <v>1009.2</v>
      </c>
      <c r="E12" s="69">
        <v>18.5</v>
      </c>
      <c r="F12" s="69">
        <v>89</v>
      </c>
      <c r="G12" s="70" t="s">
        <v>138</v>
      </c>
      <c r="H12" s="69">
        <v>1.4</v>
      </c>
      <c r="I12" s="69" t="s">
        <v>132</v>
      </c>
      <c r="J12" s="69" t="s">
        <v>132</v>
      </c>
      <c r="K12" s="69"/>
      <c r="L12" s="69"/>
      <c r="M12" s="69"/>
      <c r="N12" s="65">
        <f t="shared" si="0"/>
        <v>16.654251718361422</v>
      </c>
      <c r="O12" s="65">
        <f t="shared" si="1"/>
        <v>1.8457482816385777</v>
      </c>
      <c r="P12" s="66">
        <f t="shared" si="2"/>
        <v>17.57712585918071</v>
      </c>
      <c r="Q12" s="65">
        <f t="shared" si="3"/>
        <v>323.107872725379</v>
      </c>
      <c r="R12" s="66">
        <f t="shared" si="4"/>
        <v>12.036260282350131</v>
      </c>
      <c r="S12" s="67">
        <f t="shared" si="10"/>
        <v>0.10000000000002274</v>
      </c>
      <c r="T12" s="67">
        <f t="shared" si="6"/>
        <v>0</v>
      </c>
      <c r="U12" s="67">
        <f t="shared" si="7"/>
        <v>0.31780963735968726</v>
      </c>
      <c r="V12" s="67">
        <f t="shared" si="8"/>
        <v>0.5</v>
      </c>
      <c r="W12" s="67">
        <f t="shared" si="9"/>
        <v>1.2405412787507544</v>
      </c>
      <c r="X12">
        <f t="shared" si="5"/>
        <v>0</v>
      </c>
    </row>
    <row r="13" spans="1:24" ht="13.5">
      <c r="A13" s="14">
        <v>27</v>
      </c>
      <c r="B13" s="73">
        <v>8</v>
      </c>
      <c r="C13" s="69">
        <v>1006.8</v>
      </c>
      <c r="D13" s="69">
        <v>1009.1</v>
      </c>
      <c r="E13" s="69">
        <v>19</v>
      </c>
      <c r="F13" s="69">
        <v>90</v>
      </c>
      <c r="G13" s="70" t="s">
        <v>138</v>
      </c>
      <c r="H13" s="69">
        <v>2</v>
      </c>
      <c r="I13" s="69" t="s">
        <v>132</v>
      </c>
      <c r="J13" s="69" t="s">
        <v>132</v>
      </c>
      <c r="K13" s="69"/>
      <c r="L13" s="69"/>
      <c r="M13" s="69"/>
      <c r="N13" s="65">
        <f t="shared" si="0"/>
        <v>17.323735336397647</v>
      </c>
      <c r="O13" s="65">
        <f t="shared" si="1"/>
        <v>1.6762646636023533</v>
      </c>
      <c r="P13" s="66">
        <f t="shared" si="2"/>
        <v>18.161867668198823</v>
      </c>
      <c r="Q13" s="65">
        <f t="shared" si="3"/>
        <v>325.09025408953045</v>
      </c>
      <c r="R13" s="66">
        <f t="shared" si="4"/>
        <v>12.578537119462927</v>
      </c>
      <c r="S13" s="67">
        <f t="shared" si="10"/>
        <v>0.5</v>
      </c>
      <c r="T13" s="67">
        <f t="shared" si="6"/>
        <v>-0.10000000000002274</v>
      </c>
      <c r="U13" s="67">
        <f t="shared" si="7"/>
        <v>0.6694836180362245</v>
      </c>
      <c r="V13" s="67">
        <f t="shared" si="8"/>
        <v>0.5</v>
      </c>
      <c r="W13" s="67">
        <f t="shared" si="9"/>
        <v>1.982381364151422</v>
      </c>
      <c r="X13">
        <f t="shared" si="5"/>
        <v>0</v>
      </c>
    </row>
    <row r="14" spans="1:24" ht="13.5">
      <c r="A14" s="14">
        <v>27</v>
      </c>
      <c r="B14" s="73">
        <v>9</v>
      </c>
      <c r="C14" s="69">
        <v>1006</v>
      </c>
      <c r="D14" s="69">
        <v>1008.3</v>
      </c>
      <c r="E14" s="69">
        <v>20.7</v>
      </c>
      <c r="F14" s="69">
        <v>87</v>
      </c>
      <c r="G14" s="70" t="s">
        <v>138</v>
      </c>
      <c r="H14" s="69">
        <v>1.9</v>
      </c>
      <c r="I14" s="69" t="s">
        <v>132</v>
      </c>
      <c r="J14" s="69" t="s">
        <v>132</v>
      </c>
      <c r="K14" s="69"/>
      <c r="L14" s="69" t="s">
        <v>132</v>
      </c>
      <c r="M14" s="69" t="s">
        <v>132</v>
      </c>
      <c r="N14" s="65">
        <f t="shared" si="0"/>
        <v>18.46030222523825</v>
      </c>
      <c r="O14" s="65">
        <f t="shared" si="1"/>
        <v>2.2396977747617477</v>
      </c>
      <c r="P14" s="66">
        <f t="shared" si="2"/>
        <v>19.580151112619127</v>
      </c>
      <c r="Q14" s="65">
        <f t="shared" si="3"/>
        <v>329.7891783529951</v>
      </c>
      <c r="R14" s="66">
        <f t="shared" si="4"/>
        <v>13.559284238808756</v>
      </c>
      <c r="S14" s="67">
        <f t="shared" si="10"/>
        <v>-0.900000000000091</v>
      </c>
      <c r="T14" s="67">
        <f t="shared" si="6"/>
        <v>-0.8000000000000682</v>
      </c>
      <c r="U14" s="67">
        <f t="shared" si="7"/>
        <v>1.1365668888406049</v>
      </c>
      <c r="V14" s="67">
        <f t="shared" si="8"/>
        <v>1.6999999999999993</v>
      </c>
      <c r="W14" s="67">
        <f t="shared" si="9"/>
        <v>4.698924263464676</v>
      </c>
      <c r="X14">
        <f t="shared" si="5"/>
        <v>0</v>
      </c>
    </row>
    <row r="15" spans="1:24" ht="13.5">
      <c r="A15" s="14">
        <v>27</v>
      </c>
      <c r="B15" s="73">
        <v>10</v>
      </c>
      <c r="C15" s="69">
        <v>1005.7</v>
      </c>
      <c r="D15" s="69">
        <v>1008</v>
      </c>
      <c r="E15" s="69">
        <v>21.2</v>
      </c>
      <c r="F15" s="69">
        <v>86</v>
      </c>
      <c r="G15" s="70" t="s">
        <v>137</v>
      </c>
      <c r="H15" s="69">
        <v>1.7</v>
      </c>
      <c r="I15" s="69" t="s">
        <v>132</v>
      </c>
      <c r="J15" s="69" t="s">
        <v>132</v>
      </c>
      <c r="K15" s="69"/>
      <c r="L15" s="69"/>
      <c r="M15" s="69"/>
      <c r="N15" s="65">
        <f t="shared" si="0"/>
        <v>18.766938814635694</v>
      </c>
      <c r="O15" s="65">
        <f t="shared" si="1"/>
        <v>2.4330611853643056</v>
      </c>
      <c r="P15" s="66">
        <f t="shared" si="2"/>
        <v>19.98346940731785</v>
      </c>
      <c r="Q15" s="65">
        <f t="shared" si="3"/>
        <v>331.1649145750544</v>
      </c>
      <c r="R15" s="66">
        <f t="shared" si="4"/>
        <v>13.836833073961401</v>
      </c>
      <c r="S15" s="67">
        <f t="shared" si="10"/>
        <v>-1.2000000000000455</v>
      </c>
      <c r="T15" s="67">
        <f t="shared" si="6"/>
        <v>-0.2999999999999545</v>
      </c>
      <c r="U15" s="67">
        <f t="shared" si="7"/>
        <v>0.3066365893974421</v>
      </c>
      <c r="V15" s="67">
        <f t="shared" si="8"/>
        <v>0.5</v>
      </c>
      <c r="W15" s="67">
        <f t="shared" si="9"/>
        <v>1.3757362220592881</v>
      </c>
      <c r="X15">
        <f t="shared" si="5"/>
        <v>22.5</v>
      </c>
    </row>
    <row r="16" spans="1:24" ht="13.5">
      <c r="A16" s="14">
        <v>27</v>
      </c>
      <c r="B16" s="73">
        <v>11</v>
      </c>
      <c r="C16" s="69">
        <v>1003.9</v>
      </c>
      <c r="D16" s="69">
        <v>1006.2</v>
      </c>
      <c r="E16" s="69">
        <v>20.9</v>
      </c>
      <c r="F16" s="69">
        <v>92</v>
      </c>
      <c r="G16" s="70" t="s">
        <v>138</v>
      </c>
      <c r="H16" s="69">
        <v>2.6</v>
      </c>
      <c r="I16" s="69">
        <v>4</v>
      </c>
      <c r="J16" s="69" t="s">
        <v>132</v>
      </c>
      <c r="K16" s="69"/>
      <c r="L16" s="69"/>
      <c r="M16" s="69"/>
      <c r="N16" s="65">
        <f t="shared" si="0"/>
        <v>19.552396071475584</v>
      </c>
      <c r="O16" s="65">
        <f t="shared" si="1"/>
        <v>1.3476039285244141</v>
      </c>
      <c r="P16" s="66">
        <f t="shared" si="2"/>
        <v>20.22619803573779</v>
      </c>
      <c r="Q16" s="65">
        <f t="shared" si="3"/>
        <v>332.83392688019666</v>
      </c>
      <c r="R16" s="66">
        <f t="shared" si="4"/>
        <v>14.587120883583477</v>
      </c>
      <c r="S16" s="67">
        <f t="shared" si="10"/>
        <v>-2.8999999999999773</v>
      </c>
      <c r="T16" s="67">
        <f t="shared" si="6"/>
        <v>-1.7999999999999545</v>
      </c>
      <c r="U16" s="67">
        <f t="shared" si="7"/>
        <v>0.7854572568398908</v>
      </c>
      <c r="V16" s="67">
        <f t="shared" si="8"/>
        <v>-0.3000000000000007</v>
      </c>
      <c r="W16" s="67">
        <f t="shared" si="9"/>
        <v>1.669012305142246</v>
      </c>
      <c r="X16">
        <f t="shared" si="5"/>
        <v>0</v>
      </c>
    </row>
    <row r="17" spans="1:24" ht="13.5">
      <c r="A17" s="14">
        <v>27</v>
      </c>
      <c r="B17" s="73">
        <v>12</v>
      </c>
      <c r="C17" s="69">
        <v>1003</v>
      </c>
      <c r="D17" s="69">
        <v>1005.3</v>
      </c>
      <c r="E17" s="69">
        <v>20.9</v>
      </c>
      <c r="F17" s="69">
        <v>93</v>
      </c>
      <c r="G17" s="70" t="s">
        <v>138</v>
      </c>
      <c r="H17" s="69">
        <v>3.8</v>
      </c>
      <c r="I17" s="69">
        <v>9.5</v>
      </c>
      <c r="J17" s="69" t="s">
        <v>132</v>
      </c>
      <c r="K17" s="69"/>
      <c r="L17" s="69"/>
      <c r="M17" s="69"/>
      <c r="N17" s="65">
        <f t="shared" si="0"/>
        <v>19.726345256152968</v>
      </c>
      <c r="O17" s="65">
        <f t="shared" si="1"/>
        <v>1.173654743847031</v>
      </c>
      <c r="P17" s="66">
        <f t="shared" si="2"/>
        <v>20.313172628076483</v>
      </c>
      <c r="Q17" s="65">
        <f t="shared" si="3"/>
        <v>333.37126649161576</v>
      </c>
      <c r="R17" s="66">
        <f t="shared" si="4"/>
        <v>14.765847047218138</v>
      </c>
      <c r="S17" s="67">
        <f t="shared" si="10"/>
        <v>-3</v>
      </c>
      <c r="T17" s="67">
        <f t="shared" si="6"/>
        <v>-0.900000000000091</v>
      </c>
      <c r="U17" s="67">
        <f t="shared" si="7"/>
        <v>0.17394918467738307</v>
      </c>
      <c r="V17" s="67">
        <f t="shared" si="8"/>
        <v>0</v>
      </c>
      <c r="W17" s="67">
        <f t="shared" si="9"/>
        <v>0.5373396114190996</v>
      </c>
      <c r="X17">
        <f t="shared" si="5"/>
        <v>0</v>
      </c>
    </row>
    <row r="18" spans="1:24" ht="13.5">
      <c r="A18" s="14">
        <v>27</v>
      </c>
      <c r="B18" s="73">
        <v>13</v>
      </c>
      <c r="C18" s="69">
        <v>1001.9</v>
      </c>
      <c r="D18" s="69">
        <v>1004.2</v>
      </c>
      <c r="E18" s="69">
        <v>20.6</v>
      </c>
      <c r="F18" s="69">
        <v>92</v>
      </c>
      <c r="G18" s="70" t="s">
        <v>137</v>
      </c>
      <c r="H18" s="69">
        <v>3.8</v>
      </c>
      <c r="I18" s="69">
        <v>6</v>
      </c>
      <c r="J18" s="69" t="s">
        <v>132</v>
      </c>
      <c r="K18" s="69"/>
      <c r="L18" s="69"/>
      <c r="M18" s="69"/>
      <c r="N18" s="65">
        <f t="shared" si="0"/>
        <v>19.25544466356172</v>
      </c>
      <c r="O18" s="65">
        <f t="shared" si="1"/>
        <v>1.3445553364382832</v>
      </c>
      <c r="P18" s="66">
        <f t="shared" si="2"/>
        <v>19.92772233178086</v>
      </c>
      <c r="Q18" s="65">
        <f t="shared" si="3"/>
        <v>332.0157836105425</v>
      </c>
      <c r="R18" s="66">
        <f t="shared" si="4"/>
        <v>14.338286275258893</v>
      </c>
      <c r="S18" s="67">
        <f t="shared" si="10"/>
        <v>-3.7999999999999545</v>
      </c>
      <c r="T18" s="67">
        <f t="shared" si="6"/>
        <v>-1.099999999999909</v>
      </c>
      <c r="U18" s="67">
        <f t="shared" si="7"/>
        <v>-0.4709005925912493</v>
      </c>
      <c r="V18" s="67">
        <f t="shared" si="8"/>
        <v>-0.29999999999999716</v>
      </c>
      <c r="W18" s="67">
        <f t="shared" si="9"/>
        <v>-1.3554828810732715</v>
      </c>
      <c r="X18">
        <f t="shared" si="5"/>
        <v>22.5</v>
      </c>
    </row>
    <row r="19" spans="1:24" ht="13.5">
      <c r="A19" s="14">
        <v>27</v>
      </c>
      <c r="B19" s="73">
        <v>14</v>
      </c>
      <c r="C19" s="69">
        <v>1000.5</v>
      </c>
      <c r="D19" s="69">
        <v>1002.8</v>
      </c>
      <c r="E19" s="69">
        <v>21.1</v>
      </c>
      <c r="F19" s="69">
        <v>89</v>
      </c>
      <c r="G19" s="70" t="s">
        <v>138</v>
      </c>
      <c r="H19" s="69">
        <v>4.2</v>
      </c>
      <c r="I19" s="69">
        <v>1</v>
      </c>
      <c r="J19" s="69" t="s">
        <v>132</v>
      </c>
      <c r="K19" s="69"/>
      <c r="L19" s="69"/>
      <c r="M19" s="69"/>
      <c r="N19" s="65">
        <f t="shared" si="0"/>
        <v>19.217568380699333</v>
      </c>
      <c r="O19" s="65">
        <f t="shared" si="1"/>
        <v>1.882431619300668</v>
      </c>
      <c r="P19" s="66">
        <f t="shared" si="2"/>
        <v>20.158784190349667</v>
      </c>
      <c r="Q19" s="65">
        <f t="shared" si="3"/>
        <v>332.77628081680683</v>
      </c>
      <c r="R19" s="66">
        <f t="shared" si="4"/>
        <v>14.323573652346512</v>
      </c>
      <c r="S19" s="67">
        <f t="shared" si="10"/>
        <v>-3.400000000000091</v>
      </c>
      <c r="T19" s="67">
        <f t="shared" si="6"/>
        <v>-1.400000000000091</v>
      </c>
      <c r="U19" s="67">
        <f t="shared" si="7"/>
        <v>-0.03787628286238487</v>
      </c>
      <c r="V19" s="67">
        <f t="shared" si="8"/>
        <v>0.5</v>
      </c>
      <c r="W19" s="67">
        <f t="shared" si="9"/>
        <v>0.7604972062643469</v>
      </c>
      <c r="X19">
        <f t="shared" si="5"/>
        <v>0</v>
      </c>
    </row>
    <row r="20" spans="1:24" ht="13.5">
      <c r="A20" s="14">
        <v>27</v>
      </c>
      <c r="B20" s="73">
        <v>15</v>
      </c>
      <c r="C20" s="69">
        <v>1001.6</v>
      </c>
      <c r="D20" s="69">
        <v>1003.9</v>
      </c>
      <c r="E20" s="69">
        <v>22.2</v>
      </c>
      <c r="F20" s="69">
        <v>85</v>
      </c>
      <c r="G20" s="70" t="s">
        <v>135</v>
      </c>
      <c r="H20" s="69">
        <v>5</v>
      </c>
      <c r="I20" s="69">
        <v>0</v>
      </c>
      <c r="J20" s="69">
        <v>0.1</v>
      </c>
      <c r="K20" s="69"/>
      <c r="L20" s="69" t="s">
        <v>132</v>
      </c>
      <c r="M20" s="69" t="s">
        <v>132</v>
      </c>
      <c r="N20" s="65">
        <f t="shared" si="0"/>
        <v>19.560393089844183</v>
      </c>
      <c r="O20" s="65">
        <f t="shared" si="1"/>
        <v>2.639606910155816</v>
      </c>
      <c r="P20" s="66">
        <f t="shared" si="2"/>
        <v>20.880196544922093</v>
      </c>
      <c r="Q20" s="65">
        <f t="shared" si="3"/>
        <v>334.88967005051495</v>
      </c>
      <c r="R20" s="66">
        <f t="shared" si="4"/>
        <v>14.628979498822305</v>
      </c>
      <c r="S20" s="67">
        <f t="shared" si="10"/>
        <v>-1.3999999999999773</v>
      </c>
      <c r="T20" s="67">
        <f t="shared" si="6"/>
        <v>1.1000000000000227</v>
      </c>
      <c r="U20" s="67">
        <f t="shared" si="7"/>
        <v>0.34282470914484975</v>
      </c>
      <c r="V20" s="67">
        <f t="shared" si="8"/>
        <v>1.0999999999999979</v>
      </c>
      <c r="W20" s="67">
        <f t="shared" si="9"/>
        <v>2.1133892337081193</v>
      </c>
      <c r="X20">
        <f t="shared" si="5"/>
        <v>337.5</v>
      </c>
    </row>
    <row r="21" spans="1:24" ht="13.5">
      <c r="A21" s="14">
        <v>27</v>
      </c>
      <c r="B21" s="73">
        <v>16</v>
      </c>
      <c r="C21" s="69">
        <v>1002.2</v>
      </c>
      <c r="D21" s="69">
        <v>1004.5</v>
      </c>
      <c r="E21" s="69">
        <v>22.8</v>
      </c>
      <c r="F21" s="69">
        <v>80</v>
      </c>
      <c r="G21" s="70" t="s">
        <v>135</v>
      </c>
      <c r="H21" s="69">
        <v>4.3</v>
      </c>
      <c r="I21" s="69" t="s">
        <v>132</v>
      </c>
      <c r="J21" s="69">
        <v>0.4</v>
      </c>
      <c r="K21" s="69"/>
      <c r="L21" s="69"/>
      <c r="M21" s="69"/>
      <c r="N21" s="65">
        <f t="shared" si="0"/>
        <v>19.172903863562</v>
      </c>
      <c r="O21" s="65">
        <f t="shared" si="1"/>
        <v>3.627096136438002</v>
      </c>
      <c r="P21" s="66">
        <f t="shared" si="2"/>
        <v>20.986451931780998</v>
      </c>
      <c r="Q21" s="65">
        <f t="shared" si="3"/>
        <v>334.6745502570379</v>
      </c>
      <c r="R21" s="66">
        <f t="shared" si="4"/>
        <v>14.257338954863854</v>
      </c>
      <c r="S21" s="67">
        <f t="shared" si="10"/>
        <v>0.2999999999999545</v>
      </c>
      <c r="T21" s="67">
        <f t="shared" si="6"/>
        <v>0.6000000000000227</v>
      </c>
      <c r="U21" s="67">
        <f t="shared" si="7"/>
        <v>-0.3874892262821845</v>
      </c>
      <c r="V21" s="67">
        <f t="shared" si="8"/>
        <v>0.6000000000000014</v>
      </c>
      <c r="W21" s="67">
        <f t="shared" si="9"/>
        <v>-0.2151197934770721</v>
      </c>
      <c r="X21">
        <f t="shared" si="5"/>
        <v>337.5</v>
      </c>
    </row>
    <row r="22" spans="1:24" ht="13.5">
      <c r="A22" s="14">
        <v>27</v>
      </c>
      <c r="B22" s="73">
        <v>17</v>
      </c>
      <c r="C22" s="69">
        <v>1002.9</v>
      </c>
      <c r="D22" s="69">
        <v>1005.2</v>
      </c>
      <c r="E22" s="69">
        <v>22.2</v>
      </c>
      <c r="F22" s="69">
        <v>83</v>
      </c>
      <c r="G22" s="70" t="s">
        <v>142</v>
      </c>
      <c r="H22" s="69">
        <v>4.3</v>
      </c>
      <c r="I22" s="69" t="s">
        <v>132</v>
      </c>
      <c r="J22" s="69">
        <v>0.3</v>
      </c>
      <c r="K22" s="69"/>
      <c r="L22" s="69"/>
      <c r="M22" s="69"/>
      <c r="N22" s="65">
        <f t="shared" si="0"/>
        <v>19.178062733741967</v>
      </c>
      <c r="O22" s="65">
        <f t="shared" si="1"/>
        <v>3.021937266258032</v>
      </c>
      <c r="P22" s="66">
        <f t="shared" si="2"/>
        <v>20.689031366870985</v>
      </c>
      <c r="Q22" s="65">
        <f t="shared" si="3"/>
        <v>333.8014173553766</v>
      </c>
      <c r="R22" s="66">
        <f t="shared" si="4"/>
        <v>14.251930084132734</v>
      </c>
      <c r="S22" s="67">
        <f t="shared" si="10"/>
        <v>2.400000000000091</v>
      </c>
      <c r="T22" s="67">
        <f t="shared" si="6"/>
        <v>0.7000000000000455</v>
      </c>
      <c r="U22" s="67">
        <f t="shared" si="7"/>
        <v>0.005158870179968744</v>
      </c>
      <c r="V22" s="67">
        <f t="shared" si="8"/>
        <v>-0.6000000000000014</v>
      </c>
      <c r="W22" s="67">
        <f t="shared" si="9"/>
        <v>-0.873132901661279</v>
      </c>
      <c r="X22">
        <f t="shared" si="5"/>
        <v>292.5</v>
      </c>
    </row>
    <row r="23" spans="1:24" ht="13.5">
      <c r="A23" s="14">
        <v>27</v>
      </c>
      <c r="B23" s="73">
        <v>18</v>
      </c>
      <c r="C23" s="69">
        <v>1003.6</v>
      </c>
      <c r="D23" s="69">
        <v>1005.9</v>
      </c>
      <c r="E23" s="69">
        <v>21.5</v>
      </c>
      <c r="F23" s="69">
        <v>87</v>
      </c>
      <c r="G23" s="70" t="s">
        <v>142</v>
      </c>
      <c r="H23" s="69">
        <v>2.4</v>
      </c>
      <c r="I23" s="69" t="s">
        <v>132</v>
      </c>
      <c r="J23" s="69" t="s">
        <v>132</v>
      </c>
      <c r="K23" s="69"/>
      <c r="L23" s="69"/>
      <c r="M23" s="69"/>
      <c r="N23" s="65">
        <f t="shared" si="0"/>
        <v>19.24677587804814</v>
      </c>
      <c r="O23" s="65">
        <f t="shared" si="1"/>
        <v>2.2532241219518596</v>
      </c>
      <c r="P23" s="66">
        <f t="shared" si="2"/>
        <v>20.37338793902407</v>
      </c>
      <c r="Q23" s="65">
        <f t="shared" si="3"/>
        <v>332.94659901185366</v>
      </c>
      <c r="R23" s="66">
        <f t="shared" si="4"/>
        <v>14.305393520417308</v>
      </c>
      <c r="S23" s="67">
        <f t="shared" si="10"/>
        <v>2</v>
      </c>
      <c r="T23" s="67">
        <f t="shared" si="6"/>
        <v>0.6999999999999318</v>
      </c>
      <c r="U23" s="67">
        <f t="shared" si="7"/>
        <v>0.06871314430617304</v>
      </c>
      <c r="V23" s="67">
        <f t="shared" si="8"/>
        <v>-0.6999999999999993</v>
      </c>
      <c r="W23" s="67">
        <f t="shared" si="9"/>
        <v>-0.8548183435229362</v>
      </c>
      <c r="X23">
        <f t="shared" si="5"/>
        <v>292.5</v>
      </c>
    </row>
    <row r="24" spans="1:24" ht="13.5">
      <c r="A24" s="14">
        <v>27</v>
      </c>
      <c r="B24" s="73">
        <v>19</v>
      </c>
      <c r="C24" s="69">
        <v>1004.5</v>
      </c>
      <c r="D24" s="69">
        <v>1006.8</v>
      </c>
      <c r="E24" s="69">
        <v>21.4</v>
      </c>
      <c r="F24" s="69">
        <v>87</v>
      </c>
      <c r="G24" s="70" t="s">
        <v>141</v>
      </c>
      <c r="H24" s="69">
        <v>4.4</v>
      </c>
      <c r="I24" s="69" t="s">
        <v>132</v>
      </c>
      <c r="J24" s="69"/>
      <c r="K24" s="69"/>
      <c r="L24" s="69"/>
      <c r="M24" s="69"/>
      <c r="N24" s="65">
        <f t="shared" si="0"/>
        <v>19.148468879483517</v>
      </c>
      <c r="O24" s="65">
        <f t="shared" si="1"/>
        <v>2.251531120516482</v>
      </c>
      <c r="P24" s="66">
        <f t="shared" si="2"/>
        <v>20.274234439741758</v>
      </c>
      <c r="Q24" s="65">
        <f t="shared" si="3"/>
        <v>332.46346083330667</v>
      </c>
      <c r="R24" s="66">
        <f t="shared" si="4"/>
        <v>14.201410196484307</v>
      </c>
      <c r="S24" s="67">
        <f t="shared" si="10"/>
        <v>2.2999999999999545</v>
      </c>
      <c r="T24" s="67">
        <f t="shared" si="6"/>
        <v>0.8999999999999773</v>
      </c>
      <c r="U24" s="67">
        <f t="shared" si="7"/>
        <v>-0.09830699856462388</v>
      </c>
      <c r="V24" s="67">
        <f t="shared" si="8"/>
        <v>-0.10000000000000142</v>
      </c>
      <c r="W24" s="67">
        <f t="shared" si="9"/>
        <v>-0.48313817854699437</v>
      </c>
      <c r="X24">
        <f t="shared" si="5"/>
        <v>247.5</v>
      </c>
    </row>
    <row r="25" spans="1:24" ht="13.5">
      <c r="A25" s="14">
        <v>27</v>
      </c>
      <c r="B25" s="73">
        <v>20</v>
      </c>
      <c r="C25" s="69">
        <v>1005.2</v>
      </c>
      <c r="D25" s="69">
        <v>1007.5</v>
      </c>
      <c r="E25" s="69">
        <v>21.6</v>
      </c>
      <c r="F25" s="69">
        <v>87</v>
      </c>
      <c r="G25" s="70" t="s">
        <v>141</v>
      </c>
      <c r="H25" s="69">
        <v>2.7</v>
      </c>
      <c r="I25" s="69" t="s">
        <v>132</v>
      </c>
      <c r="J25" s="69"/>
      <c r="K25" s="69"/>
      <c r="L25" s="69"/>
      <c r="M25" s="69"/>
      <c r="N25" s="65">
        <f t="shared" si="0"/>
        <v>19.34508224576342</v>
      </c>
      <c r="O25" s="65">
        <f t="shared" si="1"/>
        <v>2.2549177542365797</v>
      </c>
      <c r="P25" s="66">
        <f t="shared" si="2"/>
        <v>20.47254112288171</v>
      </c>
      <c r="Q25" s="65">
        <f t="shared" si="3"/>
        <v>333.09006514254645</v>
      </c>
      <c r="R25" s="66">
        <f t="shared" si="4"/>
        <v>14.373437858032892</v>
      </c>
      <c r="S25" s="67">
        <f t="shared" si="10"/>
        <v>2.2999999999999545</v>
      </c>
      <c r="T25" s="67">
        <f t="shared" si="6"/>
        <v>0.7000000000000455</v>
      </c>
      <c r="U25" s="67">
        <f t="shared" si="7"/>
        <v>0.19661336627990522</v>
      </c>
      <c r="V25" s="67">
        <f t="shared" si="8"/>
        <v>0.20000000000000284</v>
      </c>
      <c r="W25" s="67">
        <f t="shared" si="9"/>
        <v>0.6266043092397808</v>
      </c>
      <c r="X25">
        <f t="shared" si="5"/>
        <v>247.5</v>
      </c>
    </row>
    <row r="26" spans="1:24" ht="13.5">
      <c r="A26" s="14">
        <v>27</v>
      </c>
      <c r="B26" s="73">
        <v>21</v>
      </c>
      <c r="C26" s="69">
        <v>1005.8</v>
      </c>
      <c r="D26" s="69">
        <v>1008.1</v>
      </c>
      <c r="E26" s="69">
        <v>21.2</v>
      </c>
      <c r="F26" s="69">
        <v>87</v>
      </c>
      <c r="G26" s="70" t="s">
        <v>131</v>
      </c>
      <c r="H26" s="69">
        <v>3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18.9518529897818</v>
      </c>
      <c r="O26" s="65">
        <f t="shared" si="1"/>
        <v>2.248147010218201</v>
      </c>
      <c r="P26" s="66">
        <f t="shared" si="2"/>
        <v>20.0759264948909</v>
      </c>
      <c r="Q26" s="65">
        <f t="shared" si="3"/>
        <v>331.57246641142336</v>
      </c>
      <c r="R26" s="66">
        <f t="shared" si="4"/>
        <v>14.002721954983732</v>
      </c>
      <c r="S26" s="67">
        <f t="shared" si="10"/>
        <v>2.2000000000000455</v>
      </c>
      <c r="T26" s="67">
        <f t="shared" si="6"/>
        <v>0.6000000000000227</v>
      </c>
      <c r="U26" s="67">
        <f t="shared" si="7"/>
        <v>-0.3932292559816233</v>
      </c>
      <c r="V26" s="67">
        <f t="shared" si="8"/>
        <v>-0.40000000000000213</v>
      </c>
      <c r="W26" s="67">
        <f t="shared" si="9"/>
        <v>-1.517598731123087</v>
      </c>
      <c r="X26">
        <f t="shared" si="5"/>
        <v>180</v>
      </c>
    </row>
    <row r="27" spans="1:24" ht="13.5">
      <c r="A27" s="14">
        <v>27</v>
      </c>
      <c r="B27" s="73">
        <v>22</v>
      </c>
      <c r="C27" s="69">
        <v>1005.8</v>
      </c>
      <c r="D27" s="69">
        <v>1008.1</v>
      </c>
      <c r="E27" s="69">
        <v>22</v>
      </c>
      <c r="F27" s="69">
        <v>81</v>
      </c>
      <c r="G27" s="70" t="s">
        <v>133</v>
      </c>
      <c r="H27" s="69">
        <v>2.3</v>
      </c>
      <c r="I27" s="69" t="s">
        <v>132</v>
      </c>
      <c r="J27" s="69"/>
      <c r="K27" s="69"/>
      <c r="L27" s="69"/>
      <c r="M27" s="69"/>
      <c r="N27" s="65">
        <f t="shared" si="0"/>
        <v>18.59265938066278</v>
      </c>
      <c r="O27" s="65">
        <f t="shared" si="1"/>
        <v>3.4073406193372193</v>
      </c>
      <c r="P27" s="66">
        <f t="shared" si="2"/>
        <v>20.29632969033139</v>
      </c>
      <c r="Q27" s="65">
        <f t="shared" si="3"/>
        <v>331.797017452805</v>
      </c>
      <c r="R27" s="66">
        <f t="shared" si="4"/>
        <v>13.679431734055001</v>
      </c>
      <c r="S27" s="67">
        <f t="shared" si="10"/>
        <v>1.3000000000000682</v>
      </c>
      <c r="T27" s="68">
        <f t="shared" si="6"/>
        <v>0</v>
      </c>
      <c r="U27" s="68">
        <f t="shared" si="7"/>
        <v>-0.35919360911901776</v>
      </c>
      <c r="V27" s="68">
        <f t="shared" si="8"/>
        <v>0.8000000000000007</v>
      </c>
      <c r="W27" s="67">
        <f t="shared" si="9"/>
        <v>0.2245510413816305</v>
      </c>
      <c r="X27">
        <f t="shared" si="5"/>
        <v>202.5</v>
      </c>
    </row>
    <row r="28" spans="1:24" ht="13.5">
      <c r="A28" s="14">
        <v>27</v>
      </c>
      <c r="B28" s="73">
        <v>23</v>
      </c>
      <c r="C28" s="69">
        <v>1005.9</v>
      </c>
      <c r="D28" s="69">
        <v>1008.2</v>
      </c>
      <c r="E28" s="69">
        <v>21.4</v>
      </c>
      <c r="F28" s="69">
        <v>85</v>
      </c>
      <c r="G28" s="70" t="s">
        <v>131</v>
      </c>
      <c r="H28" s="69">
        <v>2.6</v>
      </c>
      <c r="I28" s="69" t="s">
        <v>132</v>
      </c>
      <c r="J28" s="69"/>
      <c r="K28" s="69"/>
      <c r="L28" s="69"/>
      <c r="M28" s="69"/>
      <c r="N28" s="65">
        <f t="shared" si="0"/>
        <v>18.776185938341882</v>
      </c>
      <c r="O28" s="65">
        <f t="shared" si="1"/>
        <v>2.6238140616581163</v>
      </c>
      <c r="P28" s="66">
        <f t="shared" si="2"/>
        <v>20.08809296917094</v>
      </c>
      <c r="Q28" s="65">
        <f t="shared" si="3"/>
        <v>331.4193318439944</v>
      </c>
      <c r="R28" s="66">
        <f t="shared" si="4"/>
        <v>13.842342217051637</v>
      </c>
      <c r="S28" s="67">
        <f t="shared" si="10"/>
        <v>0.7000000000000455</v>
      </c>
      <c r="T28" s="68">
        <f t="shared" si="6"/>
        <v>0.10000000000002274</v>
      </c>
      <c r="U28" s="68">
        <f t="shared" si="7"/>
        <v>0.18352655767910164</v>
      </c>
      <c r="V28" s="68">
        <f t="shared" si="8"/>
        <v>-0.6000000000000014</v>
      </c>
      <c r="W28" s="67">
        <f t="shared" si="9"/>
        <v>-0.377685608810566</v>
      </c>
      <c r="X28">
        <f t="shared" si="5"/>
        <v>180</v>
      </c>
    </row>
    <row r="29" spans="1:24" ht="13.5">
      <c r="A29" s="14">
        <v>27</v>
      </c>
      <c r="B29" s="73">
        <v>24</v>
      </c>
      <c r="C29" s="69">
        <v>1005.8</v>
      </c>
      <c r="D29" s="69">
        <v>1008.1</v>
      </c>
      <c r="E29" s="69">
        <v>20.6</v>
      </c>
      <c r="F29" s="69">
        <v>87</v>
      </c>
      <c r="G29" s="70" t="s">
        <v>141</v>
      </c>
      <c r="H29" s="69">
        <v>1.7</v>
      </c>
      <c r="I29" s="69" t="s">
        <v>132</v>
      </c>
      <c r="J29" s="69"/>
      <c r="K29" s="69"/>
      <c r="L29" s="69"/>
      <c r="M29" s="69"/>
      <c r="N29" s="65">
        <f t="shared" si="0"/>
        <v>18.36199017966004</v>
      </c>
      <c r="O29" s="65">
        <f t="shared" si="1"/>
        <v>2.238009820339961</v>
      </c>
      <c r="P29" s="66">
        <f t="shared" si="2"/>
        <v>19.48099508983002</v>
      </c>
      <c r="Q29" s="65">
        <f t="shared" si="3"/>
        <v>329.46935349280824</v>
      </c>
      <c r="R29" s="66">
        <f t="shared" si="4"/>
        <v>13.475440766881949</v>
      </c>
      <c r="S29" s="67">
        <f t="shared" si="10"/>
        <v>0</v>
      </c>
      <c r="T29" s="68">
        <f t="shared" si="6"/>
        <v>-0.10000000000002274</v>
      </c>
      <c r="U29" s="68">
        <f t="shared" si="7"/>
        <v>-0.4141957586818421</v>
      </c>
      <c r="V29" s="68">
        <f t="shared" si="8"/>
        <v>-0.7999999999999972</v>
      </c>
      <c r="W29" s="67">
        <f t="shared" si="9"/>
        <v>-1.9499783511861892</v>
      </c>
      <c r="X29">
        <f t="shared" si="5"/>
        <v>247.5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29"/>
  <sheetViews>
    <sheetView workbookViewId="0" topLeftCell="Y1">
      <selection activeCell="AE1" sqref="AE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勝浦</v>
      </c>
    </row>
    <row r="2" ht="17.25" customHeight="1">
      <c r="B2" t="s">
        <v>158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157</v>
      </c>
      <c r="M4" s="59" t="s">
        <v>157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1007.2</v>
      </c>
      <c r="D6" s="69">
        <v>1008.8</v>
      </c>
      <c r="E6" s="69">
        <v>19.2</v>
      </c>
      <c r="F6" s="69">
        <v>88</v>
      </c>
      <c r="G6" s="70" t="s">
        <v>140</v>
      </c>
      <c r="H6" s="69">
        <v>5.3</v>
      </c>
      <c r="I6" s="69">
        <v>0</v>
      </c>
      <c r="J6" s="69"/>
      <c r="K6" s="69"/>
      <c r="L6" s="69"/>
      <c r="M6" s="69"/>
      <c r="N6" s="65">
        <f aca="true" t="shared" si="0" ref="N6:N29">4303.4/(19.482-LN(EXP(19.482-4303.4/(E6+243.5))*F6/100))-243.5</f>
        <v>17.16587898555531</v>
      </c>
      <c r="O6" s="65">
        <f aca="true" t="shared" si="1" ref="O6:O29">E6-N6</f>
        <v>2.0341210144446897</v>
      </c>
      <c r="P6" s="66">
        <f aca="true" t="shared" si="2" ref="P6:P29">(E6+N6)/2</f>
        <v>18.182939492777656</v>
      </c>
      <c r="Q6" s="65">
        <f aca="true" t="shared" si="3" ref="Q6:Q29">EPT(E6,F6,C6)</f>
        <v>324.97063276809314</v>
      </c>
      <c r="R6" s="66">
        <f aca="true" t="shared" si="4" ref="R6:R29">q(E6,F6,C6)</f>
        <v>12.443952774539826</v>
      </c>
      <c r="S6" s="67"/>
      <c r="T6" s="67"/>
      <c r="U6" s="67"/>
      <c r="V6" s="67"/>
      <c r="W6" s="14"/>
      <c r="X6">
        <f aca="true" t="shared" si="5" ref="X6:X29">fuukou_get(G6)</f>
        <v>315</v>
      </c>
    </row>
    <row r="7" spans="1:24" ht="13.5">
      <c r="A7" s="14">
        <v>27</v>
      </c>
      <c r="B7" s="73">
        <v>2</v>
      </c>
      <c r="C7" s="69">
        <v>1006.7</v>
      </c>
      <c r="D7" s="69">
        <v>1008.3</v>
      </c>
      <c r="E7" s="69">
        <v>18.2</v>
      </c>
      <c r="F7" s="69">
        <v>90</v>
      </c>
      <c r="G7" s="70" t="s">
        <v>135</v>
      </c>
      <c r="H7" s="69">
        <v>5.1</v>
      </c>
      <c r="I7" s="69">
        <v>0</v>
      </c>
      <c r="J7" s="69"/>
      <c r="K7" s="69"/>
      <c r="L7" s="69"/>
      <c r="M7" s="69"/>
      <c r="N7" s="65">
        <f t="shared" si="0"/>
        <v>16.533904574976418</v>
      </c>
      <c r="O7" s="65">
        <f t="shared" si="1"/>
        <v>1.666095425023581</v>
      </c>
      <c r="P7" s="66">
        <f t="shared" si="2"/>
        <v>17.36695228748821</v>
      </c>
      <c r="Q7" s="65">
        <f t="shared" si="3"/>
        <v>322.5228403883912</v>
      </c>
      <c r="R7" s="66">
        <f t="shared" si="4"/>
        <v>11.94371405395645</v>
      </c>
      <c r="S7" s="67"/>
      <c r="T7" s="67">
        <f aca="true" t="shared" si="6" ref="T7:T29">D7-D6</f>
        <v>-0.5</v>
      </c>
      <c r="U7" s="67">
        <f aca="true" t="shared" si="7" ref="U7:U29">N7-N6</f>
        <v>-0.6319744105788914</v>
      </c>
      <c r="V7" s="67">
        <f aca="true" t="shared" si="8" ref="V7:V29">E7-E6</f>
        <v>-1</v>
      </c>
      <c r="W7" s="67">
        <f aca="true" t="shared" si="9" ref="W7:W29">Q7-Q6</f>
        <v>-2.447792379701923</v>
      </c>
      <c r="X7">
        <f t="shared" si="5"/>
        <v>337.5</v>
      </c>
    </row>
    <row r="8" spans="1:24" ht="13.5">
      <c r="A8" s="14">
        <v>27</v>
      </c>
      <c r="B8" s="73">
        <v>3</v>
      </c>
      <c r="C8" s="69">
        <v>1007.2</v>
      </c>
      <c r="D8" s="69">
        <v>1008.8</v>
      </c>
      <c r="E8" s="69">
        <v>18.1</v>
      </c>
      <c r="F8" s="69">
        <v>90</v>
      </c>
      <c r="G8" s="70" t="s">
        <v>140</v>
      </c>
      <c r="H8" s="69">
        <v>5.8</v>
      </c>
      <c r="I8" s="69">
        <v>0.5</v>
      </c>
      <c r="J8" s="69"/>
      <c r="K8" s="69"/>
      <c r="L8" s="69"/>
      <c r="M8" s="69"/>
      <c r="N8" s="65">
        <f t="shared" si="0"/>
        <v>16.435173568175287</v>
      </c>
      <c r="O8" s="65">
        <f t="shared" si="1"/>
        <v>1.6648264318247143</v>
      </c>
      <c r="P8" s="66">
        <f t="shared" si="2"/>
        <v>17.267586784087644</v>
      </c>
      <c r="Q8" s="65">
        <f t="shared" si="3"/>
        <v>322.144363393646</v>
      </c>
      <c r="R8" s="66">
        <f t="shared" si="4"/>
        <v>11.860299760095083</v>
      </c>
      <c r="S8" s="67"/>
      <c r="T8" s="67">
        <f t="shared" si="6"/>
        <v>0.5</v>
      </c>
      <c r="U8" s="67">
        <f t="shared" si="7"/>
        <v>-0.09873100680113112</v>
      </c>
      <c r="V8" s="67">
        <f t="shared" si="8"/>
        <v>-0.09999999999999787</v>
      </c>
      <c r="W8" s="67">
        <f t="shared" si="9"/>
        <v>-0.37847699474519914</v>
      </c>
      <c r="X8">
        <f t="shared" si="5"/>
        <v>315</v>
      </c>
    </row>
    <row r="9" spans="1:24" ht="13.5">
      <c r="A9" s="14">
        <v>27</v>
      </c>
      <c r="B9" s="73">
        <v>4</v>
      </c>
      <c r="C9" s="69">
        <v>1006.4</v>
      </c>
      <c r="D9" s="69">
        <v>1008</v>
      </c>
      <c r="E9" s="69">
        <v>17.9</v>
      </c>
      <c r="F9" s="69">
        <v>91</v>
      </c>
      <c r="G9" s="70" t="s">
        <v>135</v>
      </c>
      <c r="H9" s="69">
        <v>5.5</v>
      </c>
      <c r="I9" s="69">
        <v>0</v>
      </c>
      <c r="J9" s="69"/>
      <c r="K9" s="69"/>
      <c r="L9" s="69"/>
      <c r="M9" s="69"/>
      <c r="N9" s="65">
        <f t="shared" si="0"/>
        <v>16.411052143691393</v>
      </c>
      <c r="O9" s="65">
        <f t="shared" si="1"/>
        <v>1.4889478563086058</v>
      </c>
      <c r="P9" s="66">
        <f t="shared" si="2"/>
        <v>17.155526071845696</v>
      </c>
      <c r="Q9" s="65">
        <f t="shared" si="3"/>
        <v>321.94830721139056</v>
      </c>
      <c r="R9" s="66">
        <f t="shared" si="4"/>
        <v>11.85105888767456</v>
      </c>
      <c r="S9" s="67">
        <f aca="true" t="shared" si="10" ref="S9:S29">D9-D6</f>
        <v>-0.7999999999999545</v>
      </c>
      <c r="T9" s="67">
        <f t="shared" si="6"/>
        <v>-0.7999999999999545</v>
      </c>
      <c r="U9" s="67">
        <f t="shared" si="7"/>
        <v>-0.024121424483894316</v>
      </c>
      <c r="V9" s="67">
        <f t="shared" si="8"/>
        <v>-0.20000000000000284</v>
      </c>
      <c r="W9" s="67">
        <f t="shared" si="9"/>
        <v>-0.19605618225546095</v>
      </c>
      <c r="X9">
        <f t="shared" si="5"/>
        <v>337.5</v>
      </c>
    </row>
    <row r="10" spans="1:24" ht="13.5">
      <c r="A10" s="14">
        <v>27</v>
      </c>
      <c r="B10" s="73">
        <v>5</v>
      </c>
      <c r="C10" s="69">
        <v>1006.2</v>
      </c>
      <c r="D10" s="69">
        <v>1007.8</v>
      </c>
      <c r="E10" s="69">
        <v>17.9</v>
      </c>
      <c r="F10" s="69">
        <v>91</v>
      </c>
      <c r="G10" s="70" t="s">
        <v>135</v>
      </c>
      <c r="H10" s="69">
        <v>5.8</v>
      </c>
      <c r="I10" s="69" t="s">
        <v>132</v>
      </c>
      <c r="J10" s="69"/>
      <c r="K10" s="69"/>
      <c r="L10" s="69"/>
      <c r="M10" s="69"/>
      <c r="N10" s="65">
        <f t="shared" si="0"/>
        <v>16.411052143691393</v>
      </c>
      <c r="O10" s="65">
        <f t="shared" si="1"/>
        <v>1.4889478563086058</v>
      </c>
      <c r="P10" s="66">
        <f t="shared" si="2"/>
        <v>17.155526071845696</v>
      </c>
      <c r="Q10" s="65">
        <f t="shared" si="3"/>
        <v>321.97328723393645</v>
      </c>
      <c r="R10" s="66">
        <f t="shared" si="4"/>
        <v>11.853459385511869</v>
      </c>
      <c r="S10" s="67">
        <f t="shared" si="10"/>
        <v>-0.5</v>
      </c>
      <c r="T10" s="67">
        <f t="shared" si="6"/>
        <v>-0.20000000000004547</v>
      </c>
      <c r="U10" s="67">
        <f t="shared" si="7"/>
        <v>0</v>
      </c>
      <c r="V10" s="67">
        <f t="shared" si="8"/>
        <v>0</v>
      </c>
      <c r="W10" s="67">
        <f t="shared" si="9"/>
        <v>0.024980022545889824</v>
      </c>
      <c r="X10">
        <f t="shared" si="5"/>
        <v>337.5</v>
      </c>
    </row>
    <row r="11" spans="1:24" ht="13.5">
      <c r="A11" s="14">
        <v>27</v>
      </c>
      <c r="B11" s="73">
        <v>6</v>
      </c>
      <c r="C11" s="69">
        <v>1006.6</v>
      </c>
      <c r="D11" s="69">
        <v>1008.2</v>
      </c>
      <c r="E11" s="69">
        <v>18.1</v>
      </c>
      <c r="F11" s="69">
        <v>91</v>
      </c>
      <c r="G11" s="70" t="s">
        <v>135</v>
      </c>
      <c r="H11" s="69">
        <v>6.3</v>
      </c>
      <c r="I11" s="69">
        <v>0</v>
      </c>
      <c r="J11" s="69" t="s">
        <v>132</v>
      </c>
      <c r="K11" s="69"/>
      <c r="L11" s="69"/>
      <c r="M11" s="69"/>
      <c r="N11" s="65">
        <f t="shared" si="0"/>
        <v>16.608779350383543</v>
      </c>
      <c r="O11" s="65">
        <f t="shared" si="1"/>
        <v>1.4912206496164586</v>
      </c>
      <c r="P11" s="66">
        <f t="shared" si="2"/>
        <v>17.354389675191772</v>
      </c>
      <c r="Q11" s="65">
        <f t="shared" si="3"/>
        <v>322.55594505908687</v>
      </c>
      <c r="R11" s="66">
        <f t="shared" si="4"/>
        <v>12.003943379151092</v>
      </c>
      <c r="S11" s="67">
        <f t="shared" si="10"/>
        <v>-0.599999999999909</v>
      </c>
      <c r="T11" s="67">
        <f t="shared" si="6"/>
        <v>0.40000000000009095</v>
      </c>
      <c r="U11" s="67">
        <f t="shared" si="7"/>
        <v>0.19772720669215005</v>
      </c>
      <c r="V11" s="67">
        <f t="shared" si="8"/>
        <v>0.20000000000000284</v>
      </c>
      <c r="W11" s="67">
        <f t="shared" si="9"/>
        <v>0.5826578251504202</v>
      </c>
      <c r="X11">
        <f t="shared" si="5"/>
        <v>337.5</v>
      </c>
    </row>
    <row r="12" spans="1:24" ht="13.5">
      <c r="A12" s="14">
        <v>27</v>
      </c>
      <c r="B12" s="73">
        <v>7</v>
      </c>
      <c r="C12" s="69">
        <v>1006.8</v>
      </c>
      <c r="D12" s="69">
        <v>1008.4</v>
      </c>
      <c r="E12" s="69">
        <v>18.5</v>
      </c>
      <c r="F12" s="69">
        <v>90</v>
      </c>
      <c r="G12" s="70" t="s">
        <v>135</v>
      </c>
      <c r="H12" s="69">
        <v>5.7</v>
      </c>
      <c r="I12" s="69">
        <v>0</v>
      </c>
      <c r="J12" s="69" t="s">
        <v>132</v>
      </c>
      <c r="K12" s="69"/>
      <c r="L12" s="69"/>
      <c r="M12" s="69"/>
      <c r="N12" s="65">
        <f t="shared" si="0"/>
        <v>16.830094713180188</v>
      </c>
      <c r="O12" s="65">
        <f t="shared" si="1"/>
        <v>1.6699052868198123</v>
      </c>
      <c r="P12" s="66">
        <f t="shared" si="2"/>
        <v>17.665047356590094</v>
      </c>
      <c r="Q12" s="65">
        <f t="shared" si="3"/>
        <v>323.4668085661298</v>
      </c>
      <c r="R12" s="66">
        <f t="shared" si="4"/>
        <v>12.177490154341323</v>
      </c>
      <c r="S12" s="67">
        <f t="shared" si="10"/>
        <v>0.39999999999997726</v>
      </c>
      <c r="T12" s="67">
        <f t="shared" si="6"/>
        <v>0.1999999999999318</v>
      </c>
      <c r="U12" s="67">
        <f t="shared" si="7"/>
        <v>0.22131536279664488</v>
      </c>
      <c r="V12" s="67">
        <f t="shared" si="8"/>
        <v>0.3999999999999986</v>
      </c>
      <c r="W12" s="67">
        <f t="shared" si="9"/>
        <v>0.9108635070429614</v>
      </c>
      <c r="X12">
        <f t="shared" si="5"/>
        <v>337.5</v>
      </c>
    </row>
    <row r="13" spans="1:24" ht="13.5">
      <c r="A13" s="14">
        <v>27</v>
      </c>
      <c r="B13" s="73">
        <v>8</v>
      </c>
      <c r="C13" s="69">
        <v>1006.3</v>
      </c>
      <c r="D13" s="69">
        <v>1007.9</v>
      </c>
      <c r="E13" s="69">
        <v>21.2</v>
      </c>
      <c r="F13" s="69">
        <v>84</v>
      </c>
      <c r="G13" s="70" t="s">
        <v>138</v>
      </c>
      <c r="H13" s="69">
        <v>2.9</v>
      </c>
      <c r="I13" s="69" t="s">
        <v>132</v>
      </c>
      <c r="J13" s="69">
        <v>0.7</v>
      </c>
      <c r="K13" s="69"/>
      <c r="L13" s="69"/>
      <c r="M13" s="69"/>
      <c r="N13" s="65">
        <f t="shared" si="0"/>
        <v>18.391374660021597</v>
      </c>
      <c r="O13" s="65">
        <f t="shared" si="1"/>
        <v>2.808625339978402</v>
      </c>
      <c r="P13" s="66">
        <f t="shared" si="2"/>
        <v>19.7956873300108</v>
      </c>
      <c r="Q13" s="65">
        <f t="shared" si="3"/>
        <v>330.24306068820266</v>
      </c>
      <c r="R13" s="66">
        <f t="shared" si="4"/>
        <v>13.494417045267786</v>
      </c>
      <c r="S13" s="67">
        <f t="shared" si="10"/>
        <v>0.10000000000002274</v>
      </c>
      <c r="T13" s="67">
        <f t="shared" si="6"/>
        <v>-0.5</v>
      </c>
      <c r="U13" s="67">
        <f t="shared" si="7"/>
        <v>1.5612799468414096</v>
      </c>
      <c r="V13" s="67">
        <f t="shared" si="8"/>
        <v>2.6999999999999993</v>
      </c>
      <c r="W13" s="67">
        <f t="shared" si="9"/>
        <v>6.776252122072833</v>
      </c>
      <c r="X13">
        <f t="shared" si="5"/>
        <v>0</v>
      </c>
    </row>
    <row r="14" spans="1:24" ht="13.5">
      <c r="A14" s="14">
        <v>27</v>
      </c>
      <c r="B14" s="73">
        <v>9</v>
      </c>
      <c r="C14" s="69">
        <v>1005.7</v>
      </c>
      <c r="D14" s="69">
        <v>1007.3</v>
      </c>
      <c r="E14" s="69">
        <v>21.1</v>
      </c>
      <c r="F14" s="69">
        <v>86</v>
      </c>
      <c r="G14" s="70" t="s">
        <v>138</v>
      </c>
      <c r="H14" s="69">
        <v>2.5</v>
      </c>
      <c r="I14" s="69">
        <v>0</v>
      </c>
      <c r="J14" s="69">
        <v>0.1</v>
      </c>
      <c r="K14" s="69"/>
      <c r="L14" s="69" t="s">
        <v>132</v>
      </c>
      <c r="M14" s="69" t="s">
        <v>132</v>
      </c>
      <c r="N14" s="65">
        <f t="shared" si="0"/>
        <v>18.668768378623326</v>
      </c>
      <c r="O14" s="65">
        <f t="shared" si="1"/>
        <v>2.431231621376675</v>
      </c>
      <c r="P14" s="66">
        <f t="shared" si="2"/>
        <v>19.884384189311664</v>
      </c>
      <c r="Q14" s="65">
        <f t="shared" si="3"/>
        <v>330.8132134417404</v>
      </c>
      <c r="R14" s="66">
        <f t="shared" si="4"/>
        <v>13.748753655454891</v>
      </c>
      <c r="S14" s="67">
        <f t="shared" si="10"/>
        <v>-0.900000000000091</v>
      </c>
      <c r="T14" s="67">
        <f t="shared" si="6"/>
        <v>-0.6000000000000227</v>
      </c>
      <c r="U14" s="67">
        <f t="shared" si="7"/>
        <v>0.27739371860172923</v>
      </c>
      <c r="V14" s="67">
        <f t="shared" si="8"/>
        <v>-0.09999999999999787</v>
      </c>
      <c r="W14" s="67">
        <f t="shared" si="9"/>
        <v>0.5701527535377409</v>
      </c>
      <c r="X14">
        <f t="shared" si="5"/>
        <v>0</v>
      </c>
    </row>
    <row r="15" spans="1:24" ht="13.5">
      <c r="A15" s="14">
        <v>27</v>
      </c>
      <c r="B15" s="73">
        <v>10</v>
      </c>
      <c r="C15" s="69">
        <v>1005</v>
      </c>
      <c r="D15" s="69">
        <v>1006.6</v>
      </c>
      <c r="E15" s="69">
        <v>20.6</v>
      </c>
      <c r="F15" s="69">
        <v>91</v>
      </c>
      <c r="G15" s="70" t="s">
        <v>137</v>
      </c>
      <c r="H15" s="69">
        <v>3.8</v>
      </c>
      <c r="I15" s="69">
        <v>1.5</v>
      </c>
      <c r="J15" s="69" t="s">
        <v>132</v>
      </c>
      <c r="K15" s="69"/>
      <c r="L15" s="69"/>
      <c r="M15" s="69"/>
      <c r="N15" s="65">
        <f t="shared" si="0"/>
        <v>19.080224027817394</v>
      </c>
      <c r="O15" s="65">
        <f t="shared" si="1"/>
        <v>1.5197759721826074</v>
      </c>
      <c r="P15" s="66">
        <f t="shared" si="2"/>
        <v>19.840112013908698</v>
      </c>
      <c r="Q15" s="65">
        <f t="shared" si="3"/>
        <v>331.1903920396984</v>
      </c>
      <c r="R15" s="66">
        <f t="shared" si="4"/>
        <v>14.131444894215576</v>
      </c>
      <c r="S15" s="67">
        <f t="shared" si="10"/>
        <v>-1.7999999999999545</v>
      </c>
      <c r="T15" s="67">
        <f t="shared" si="6"/>
        <v>-0.6999999999999318</v>
      </c>
      <c r="U15" s="67">
        <f t="shared" si="7"/>
        <v>0.4114556491940675</v>
      </c>
      <c r="V15" s="67">
        <f t="shared" si="8"/>
        <v>-0.5</v>
      </c>
      <c r="W15" s="67">
        <f t="shared" si="9"/>
        <v>0.37717859795799313</v>
      </c>
      <c r="X15">
        <f t="shared" si="5"/>
        <v>22.5</v>
      </c>
    </row>
    <row r="16" spans="1:24" ht="13.5">
      <c r="A16" s="14">
        <v>27</v>
      </c>
      <c r="B16" s="73">
        <v>11</v>
      </c>
      <c r="C16" s="69">
        <v>1002.7</v>
      </c>
      <c r="D16" s="69">
        <v>1004.3</v>
      </c>
      <c r="E16" s="69">
        <v>21</v>
      </c>
      <c r="F16" s="69">
        <v>92</v>
      </c>
      <c r="G16" s="70" t="s">
        <v>137</v>
      </c>
      <c r="H16" s="69">
        <v>4.4</v>
      </c>
      <c r="I16" s="69">
        <v>2</v>
      </c>
      <c r="J16" s="69" t="s">
        <v>132</v>
      </c>
      <c r="K16" s="69"/>
      <c r="L16" s="69"/>
      <c r="M16" s="69"/>
      <c r="N16" s="65">
        <f t="shared" si="0"/>
        <v>19.65137911087095</v>
      </c>
      <c r="O16" s="65">
        <f t="shared" si="1"/>
        <v>1.3486208891290516</v>
      </c>
      <c r="P16" s="66">
        <f t="shared" si="2"/>
        <v>20.325689555435474</v>
      </c>
      <c r="Q16" s="65">
        <f t="shared" si="3"/>
        <v>333.3661562298016</v>
      </c>
      <c r="R16" s="66">
        <f t="shared" si="4"/>
        <v>14.698886423031565</v>
      </c>
      <c r="S16" s="67">
        <f t="shared" si="10"/>
        <v>-3.6000000000000227</v>
      </c>
      <c r="T16" s="67">
        <f t="shared" si="6"/>
        <v>-2.300000000000068</v>
      </c>
      <c r="U16" s="67">
        <f t="shared" si="7"/>
        <v>0.5711550830535543</v>
      </c>
      <c r="V16" s="67">
        <f t="shared" si="8"/>
        <v>0.3999999999999986</v>
      </c>
      <c r="W16" s="67">
        <f t="shared" si="9"/>
        <v>2.175764190103223</v>
      </c>
      <c r="X16">
        <f t="shared" si="5"/>
        <v>22.5</v>
      </c>
    </row>
    <row r="17" spans="1:24" ht="13.5">
      <c r="A17" s="14">
        <v>27</v>
      </c>
      <c r="B17" s="73">
        <v>12</v>
      </c>
      <c r="C17" s="69">
        <v>1000.8</v>
      </c>
      <c r="D17" s="69">
        <v>1002.4</v>
      </c>
      <c r="E17" s="69">
        <v>20.6</v>
      </c>
      <c r="F17" s="69">
        <v>92</v>
      </c>
      <c r="G17" s="70" t="s">
        <v>140</v>
      </c>
      <c r="H17" s="69">
        <v>9</v>
      </c>
      <c r="I17" s="69">
        <v>28.5</v>
      </c>
      <c r="J17" s="69" t="s">
        <v>132</v>
      </c>
      <c r="K17" s="69"/>
      <c r="L17" s="69"/>
      <c r="M17" s="69"/>
      <c r="N17" s="65">
        <f t="shared" si="0"/>
        <v>19.25544466356172</v>
      </c>
      <c r="O17" s="65">
        <f t="shared" si="1"/>
        <v>1.3445553364382832</v>
      </c>
      <c r="P17" s="66">
        <f t="shared" si="2"/>
        <v>19.92772233178086</v>
      </c>
      <c r="Q17" s="65">
        <f t="shared" si="3"/>
        <v>332.1659387569257</v>
      </c>
      <c r="R17" s="66">
        <f t="shared" si="4"/>
        <v>14.354409477766303</v>
      </c>
      <c r="S17" s="67">
        <f t="shared" si="10"/>
        <v>-4.899999999999977</v>
      </c>
      <c r="T17" s="67">
        <f t="shared" si="6"/>
        <v>-1.8999999999999773</v>
      </c>
      <c r="U17" s="67">
        <f t="shared" si="7"/>
        <v>-0.3959344473092301</v>
      </c>
      <c r="V17" s="67">
        <f t="shared" si="8"/>
        <v>-0.3999999999999986</v>
      </c>
      <c r="W17" s="67">
        <f t="shared" si="9"/>
        <v>-1.20021747287592</v>
      </c>
      <c r="X17">
        <f t="shared" si="5"/>
        <v>315</v>
      </c>
    </row>
    <row r="18" spans="1:24" ht="13.5">
      <c r="A18" s="14">
        <v>27</v>
      </c>
      <c r="B18" s="73">
        <v>13</v>
      </c>
      <c r="C18" s="69">
        <v>1000.5</v>
      </c>
      <c r="D18" s="69">
        <v>1002.1</v>
      </c>
      <c r="E18" s="69">
        <v>21.2</v>
      </c>
      <c r="F18" s="69">
        <v>90</v>
      </c>
      <c r="G18" s="70" t="s">
        <v>135</v>
      </c>
      <c r="H18" s="69">
        <v>4.5</v>
      </c>
      <c r="I18" s="69">
        <v>38.5</v>
      </c>
      <c r="J18" s="69" t="s">
        <v>132</v>
      </c>
      <c r="K18" s="69"/>
      <c r="L18" s="69"/>
      <c r="M18" s="69"/>
      <c r="N18" s="65">
        <f t="shared" si="0"/>
        <v>19.495611423204366</v>
      </c>
      <c r="O18" s="65">
        <f t="shared" si="1"/>
        <v>1.7043885767956333</v>
      </c>
      <c r="P18" s="66">
        <f t="shared" si="2"/>
        <v>20.347805711602184</v>
      </c>
      <c r="Q18" s="65">
        <f t="shared" si="3"/>
        <v>333.56345350662605</v>
      </c>
      <c r="R18" s="66">
        <f t="shared" si="4"/>
        <v>14.584116608862695</v>
      </c>
      <c r="S18" s="67">
        <f t="shared" si="10"/>
        <v>-4.5</v>
      </c>
      <c r="T18" s="67">
        <f t="shared" si="6"/>
        <v>-0.2999999999999545</v>
      </c>
      <c r="U18" s="67">
        <f t="shared" si="7"/>
        <v>0.24016675964264778</v>
      </c>
      <c r="V18" s="67">
        <f t="shared" si="8"/>
        <v>0.5999999999999979</v>
      </c>
      <c r="W18" s="67">
        <f t="shared" si="9"/>
        <v>1.397514749700349</v>
      </c>
      <c r="X18">
        <f t="shared" si="5"/>
        <v>337.5</v>
      </c>
    </row>
    <row r="19" spans="1:24" ht="13.5">
      <c r="A19" s="14">
        <v>27</v>
      </c>
      <c r="B19" s="73">
        <v>14</v>
      </c>
      <c r="C19" s="69">
        <v>1000</v>
      </c>
      <c r="D19" s="69">
        <v>1001.6</v>
      </c>
      <c r="E19" s="69">
        <v>21.6</v>
      </c>
      <c r="F19" s="69">
        <v>87</v>
      </c>
      <c r="G19" s="70" t="s">
        <v>138</v>
      </c>
      <c r="H19" s="69">
        <v>4.3</v>
      </c>
      <c r="I19" s="69" t="s">
        <v>132</v>
      </c>
      <c r="J19" s="69" t="s">
        <v>132</v>
      </c>
      <c r="K19" s="69"/>
      <c r="L19" s="69"/>
      <c r="M19" s="69"/>
      <c r="N19" s="65">
        <f t="shared" si="0"/>
        <v>19.34508224576342</v>
      </c>
      <c r="O19" s="65">
        <f t="shared" si="1"/>
        <v>2.2549177542365797</v>
      </c>
      <c r="P19" s="66">
        <f t="shared" si="2"/>
        <v>20.47254112288171</v>
      </c>
      <c r="Q19" s="65">
        <f t="shared" si="3"/>
        <v>333.8037673921173</v>
      </c>
      <c r="R19" s="66">
        <f t="shared" si="4"/>
        <v>14.44991609156537</v>
      </c>
      <c r="S19" s="67">
        <f t="shared" si="10"/>
        <v>-2.699999999999932</v>
      </c>
      <c r="T19" s="67">
        <f t="shared" si="6"/>
        <v>-0.5</v>
      </c>
      <c r="U19" s="67">
        <f t="shared" si="7"/>
        <v>-0.1505291774409443</v>
      </c>
      <c r="V19" s="67">
        <f t="shared" si="8"/>
        <v>0.40000000000000213</v>
      </c>
      <c r="W19" s="67">
        <f t="shared" si="9"/>
        <v>0.24031388549127541</v>
      </c>
      <c r="X19">
        <f t="shared" si="5"/>
        <v>0</v>
      </c>
    </row>
    <row r="20" spans="1:24" ht="13.5">
      <c r="A20" s="14">
        <v>27</v>
      </c>
      <c r="B20" s="73">
        <v>15</v>
      </c>
      <c r="C20" s="69">
        <v>1001.1</v>
      </c>
      <c r="D20" s="69">
        <v>1002.7</v>
      </c>
      <c r="E20" s="69">
        <v>22.2</v>
      </c>
      <c r="F20" s="69">
        <v>84</v>
      </c>
      <c r="G20" s="70" t="s">
        <v>135</v>
      </c>
      <c r="H20" s="69">
        <v>5.4</v>
      </c>
      <c r="I20" s="69" t="s">
        <v>132</v>
      </c>
      <c r="J20" s="69" t="s">
        <v>132</v>
      </c>
      <c r="K20" s="69"/>
      <c r="L20" s="69" t="s">
        <v>132</v>
      </c>
      <c r="M20" s="69" t="s">
        <v>132</v>
      </c>
      <c r="N20" s="65">
        <f t="shared" si="0"/>
        <v>19.370226810789006</v>
      </c>
      <c r="O20" s="65">
        <f t="shared" si="1"/>
        <v>2.829773189210993</v>
      </c>
      <c r="P20" s="66">
        <f t="shared" si="2"/>
        <v>20.785113405394505</v>
      </c>
      <c r="Q20" s="65">
        <f t="shared" si="3"/>
        <v>334.50373785793687</v>
      </c>
      <c r="R20" s="66">
        <f t="shared" si="4"/>
        <v>14.457218635082976</v>
      </c>
      <c r="S20" s="67">
        <f t="shared" si="10"/>
        <v>0.3000000000000682</v>
      </c>
      <c r="T20" s="67">
        <f t="shared" si="6"/>
        <v>1.1000000000000227</v>
      </c>
      <c r="U20" s="67">
        <f t="shared" si="7"/>
        <v>0.025144565025584598</v>
      </c>
      <c r="V20" s="67">
        <f t="shared" si="8"/>
        <v>0.5999999999999979</v>
      </c>
      <c r="W20" s="67">
        <f t="shared" si="9"/>
        <v>0.6999704658195469</v>
      </c>
      <c r="X20">
        <f t="shared" si="5"/>
        <v>337.5</v>
      </c>
    </row>
    <row r="21" spans="1:24" ht="13.5">
      <c r="A21" s="14">
        <v>27</v>
      </c>
      <c r="B21" s="73">
        <v>16</v>
      </c>
      <c r="C21" s="69">
        <v>1001.9</v>
      </c>
      <c r="D21" s="69">
        <v>1003.4</v>
      </c>
      <c r="E21" s="69">
        <v>23.2</v>
      </c>
      <c r="F21" s="69">
        <v>79</v>
      </c>
      <c r="G21" s="70" t="s">
        <v>135</v>
      </c>
      <c r="H21" s="69">
        <v>3.7</v>
      </c>
      <c r="I21" s="69" t="s">
        <v>132</v>
      </c>
      <c r="J21" s="69">
        <v>0.9</v>
      </c>
      <c r="K21" s="69"/>
      <c r="L21" s="69"/>
      <c r="M21" s="69"/>
      <c r="N21" s="65">
        <f t="shared" si="0"/>
        <v>19.35995371570897</v>
      </c>
      <c r="O21" s="65">
        <f t="shared" si="1"/>
        <v>3.840046284291031</v>
      </c>
      <c r="P21" s="66">
        <f t="shared" si="2"/>
        <v>21.279976857854486</v>
      </c>
      <c r="Q21" s="65">
        <f t="shared" si="3"/>
        <v>335.6893766436591</v>
      </c>
      <c r="R21" s="66">
        <f t="shared" si="4"/>
        <v>14.435789511309245</v>
      </c>
      <c r="S21" s="67">
        <f t="shared" si="10"/>
        <v>1.2999999999999545</v>
      </c>
      <c r="T21" s="67">
        <f t="shared" si="6"/>
        <v>0.6999999999999318</v>
      </c>
      <c r="U21" s="67">
        <f t="shared" si="7"/>
        <v>-0.01027309508003782</v>
      </c>
      <c r="V21" s="67">
        <f t="shared" si="8"/>
        <v>1</v>
      </c>
      <c r="W21" s="67">
        <f t="shared" si="9"/>
        <v>1.185638785722233</v>
      </c>
      <c r="X21">
        <f t="shared" si="5"/>
        <v>337.5</v>
      </c>
    </row>
    <row r="22" spans="1:24" ht="13.5">
      <c r="A22" s="14">
        <v>27</v>
      </c>
      <c r="B22" s="73">
        <v>17</v>
      </c>
      <c r="C22" s="69">
        <v>1003.5</v>
      </c>
      <c r="D22" s="69">
        <v>1005.1</v>
      </c>
      <c r="E22" s="69">
        <v>22.4</v>
      </c>
      <c r="F22" s="69">
        <v>81</v>
      </c>
      <c r="G22" s="70" t="s">
        <v>142</v>
      </c>
      <c r="H22" s="69">
        <v>1.5</v>
      </c>
      <c r="I22" s="69" t="s">
        <v>132</v>
      </c>
      <c r="J22" s="69">
        <v>1</v>
      </c>
      <c r="K22" s="69"/>
      <c r="L22" s="69"/>
      <c r="M22" s="69"/>
      <c r="N22" s="65">
        <f t="shared" si="0"/>
        <v>18.982450785568517</v>
      </c>
      <c r="O22" s="65">
        <f t="shared" si="1"/>
        <v>3.4175492144314816</v>
      </c>
      <c r="P22" s="66">
        <f t="shared" si="2"/>
        <v>20.691225392784258</v>
      </c>
      <c r="Q22" s="65">
        <f t="shared" si="3"/>
        <v>333.5242876613514</v>
      </c>
      <c r="R22" s="66">
        <f t="shared" si="4"/>
        <v>14.063467319455535</v>
      </c>
      <c r="S22" s="67">
        <f t="shared" si="10"/>
        <v>3.5</v>
      </c>
      <c r="T22" s="67">
        <f t="shared" si="6"/>
        <v>1.7000000000000455</v>
      </c>
      <c r="U22" s="67">
        <f t="shared" si="7"/>
        <v>-0.37750293014045155</v>
      </c>
      <c r="V22" s="67">
        <f t="shared" si="8"/>
        <v>-0.8000000000000007</v>
      </c>
      <c r="W22" s="67">
        <f t="shared" si="9"/>
        <v>-2.1650889823076795</v>
      </c>
      <c r="X22">
        <f t="shared" si="5"/>
        <v>292.5</v>
      </c>
    </row>
    <row r="23" spans="1:24" ht="13.5">
      <c r="A23" s="14">
        <v>27</v>
      </c>
      <c r="B23" s="73">
        <v>18</v>
      </c>
      <c r="C23" s="69">
        <v>1004.6</v>
      </c>
      <c r="D23" s="69">
        <v>1006.2</v>
      </c>
      <c r="E23" s="69">
        <v>20.9</v>
      </c>
      <c r="F23" s="69">
        <v>87</v>
      </c>
      <c r="G23" s="70" t="s">
        <v>141</v>
      </c>
      <c r="H23" s="69">
        <v>0.7</v>
      </c>
      <c r="I23" s="69" t="s">
        <v>132</v>
      </c>
      <c r="J23" s="69">
        <v>0.1</v>
      </c>
      <c r="K23" s="69"/>
      <c r="L23" s="69"/>
      <c r="M23" s="69"/>
      <c r="N23" s="65">
        <f t="shared" si="0"/>
        <v>18.65692442370704</v>
      </c>
      <c r="O23" s="65">
        <f t="shared" si="1"/>
        <v>2.2430755762929593</v>
      </c>
      <c r="P23" s="66">
        <f t="shared" si="2"/>
        <v>19.77846221185352</v>
      </c>
      <c r="Q23" s="65">
        <f t="shared" si="3"/>
        <v>330.6740803173191</v>
      </c>
      <c r="R23" s="66">
        <f t="shared" si="4"/>
        <v>13.75353735882732</v>
      </c>
      <c r="S23" s="67">
        <f t="shared" si="10"/>
        <v>3.5</v>
      </c>
      <c r="T23" s="67">
        <f t="shared" si="6"/>
        <v>1.1000000000000227</v>
      </c>
      <c r="U23" s="67">
        <f t="shared" si="7"/>
        <v>-0.32552636186147765</v>
      </c>
      <c r="V23" s="67">
        <f t="shared" si="8"/>
        <v>-1.5</v>
      </c>
      <c r="W23" s="67">
        <f t="shared" si="9"/>
        <v>-2.850207344032299</v>
      </c>
      <c r="X23">
        <f t="shared" si="5"/>
        <v>247.5</v>
      </c>
    </row>
    <row r="24" spans="1:24" ht="13.5">
      <c r="A24" s="14">
        <v>27</v>
      </c>
      <c r="B24" s="73">
        <v>19</v>
      </c>
      <c r="C24" s="69">
        <v>1005.3</v>
      </c>
      <c r="D24" s="69">
        <v>1006.9</v>
      </c>
      <c r="E24" s="69">
        <v>20.5</v>
      </c>
      <c r="F24" s="69">
        <v>88</v>
      </c>
      <c r="G24" s="70" t="s">
        <v>140</v>
      </c>
      <c r="H24" s="69">
        <v>1.3</v>
      </c>
      <c r="I24" s="69" t="s">
        <v>132</v>
      </c>
      <c r="J24" s="69"/>
      <c r="K24" s="69"/>
      <c r="L24" s="69"/>
      <c r="M24" s="69"/>
      <c r="N24" s="65">
        <f t="shared" si="0"/>
        <v>18.44577574017552</v>
      </c>
      <c r="O24" s="65">
        <f t="shared" si="1"/>
        <v>2.0542242598244798</v>
      </c>
      <c r="P24" s="66">
        <f t="shared" si="2"/>
        <v>19.47288787008776</v>
      </c>
      <c r="Q24" s="65">
        <f t="shared" si="3"/>
        <v>329.5913451568123</v>
      </c>
      <c r="R24" s="66">
        <f t="shared" si="4"/>
        <v>13.556097289675181</v>
      </c>
      <c r="S24" s="67">
        <f t="shared" si="10"/>
        <v>3.5</v>
      </c>
      <c r="T24" s="67">
        <f t="shared" si="6"/>
        <v>0.6999999999999318</v>
      </c>
      <c r="U24" s="67">
        <f t="shared" si="7"/>
        <v>-0.21114868353151905</v>
      </c>
      <c r="V24" s="67">
        <f t="shared" si="8"/>
        <v>-0.3999999999999986</v>
      </c>
      <c r="W24" s="67">
        <f t="shared" si="9"/>
        <v>-1.082735160506843</v>
      </c>
      <c r="X24">
        <f t="shared" si="5"/>
        <v>315</v>
      </c>
    </row>
    <row r="25" spans="1:24" ht="13.5">
      <c r="A25" s="14">
        <v>27</v>
      </c>
      <c r="B25" s="73">
        <v>20</v>
      </c>
      <c r="C25" s="69">
        <v>1006.1</v>
      </c>
      <c r="D25" s="69">
        <v>1007.7</v>
      </c>
      <c r="E25" s="69">
        <v>20.1</v>
      </c>
      <c r="F25" s="69">
        <v>90</v>
      </c>
      <c r="G25" s="70" t="s">
        <v>142</v>
      </c>
      <c r="H25" s="69">
        <v>1.1</v>
      </c>
      <c r="I25" s="69" t="s">
        <v>132</v>
      </c>
      <c r="J25" s="69"/>
      <c r="K25" s="69"/>
      <c r="L25" s="69"/>
      <c r="M25" s="69"/>
      <c r="N25" s="65">
        <f t="shared" si="0"/>
        <v>18.409702438093234</v>
      </c>
      <c r="O25" s="65">
        <f t="shared" si="1"/>
        <v>1.6902975619067675</v>
      </c>
      <c r="P25" s="66">
        <f t="shared" si="2"/>
        <v>19.254851219046618</v>
      </c>
      <c r="Q25" s="65">
        <f t="shared" si="3"/>
        <v>328.888843593268</v>
      </c>
      <c r="R25" s="66">
        <f t="shared" si="4"/>
        <v>13.513286598000729</v>
      </c>
      <c r="S25" s="67">
        <f t="shared" si="10"/>
        <v>2.6000000000000227</v>
      </c>
      <c r="T25" s="67">
        <f t="shared" si="6"/>
        <v>0.8000000000000682</v>
      </c>
      <c r="U25" s="67">
        <f t="shared" si="7"/>
        <v>-0.03607330208228632</v>
      </c>
      <c r="V25" s="67">
        <f t="shared" si="8"/>
        <v>-0.3999999999999986</v>
      </c>
      <c r="W25" s="67">
        <f t="shared" si="9"/>
        <v>-0.7025015635442742</v>
      </c>
      <c r="X25">
        <f t="shared" si="5"/>
        <v>292.5</v>
      </c>
    </row>
    <row r="26" spans="1:24" ht="13.5">
      <c r="A26" s="14">
        <v>27</v>
      </c>
      <c r="B26" s="73">
        <v>21</v>
      </c>
      <c r="C26" s="69">
        <v>1006.9</v>
      </c>
      <c r="D26" s="69">
        <v>1008.5</v>
      </c>
      <c r="E26" s="69">
        <v>19.4</v>
      </c>
      <c r="F26" s="69">
        <v>92</v>
      </c>
      <c r="G26" s="70" t="s">
        <v>146</v>
      </c>
      <c r="H26" s="69">
        <v>0.7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18.067604684925243</v>
      </c>
      <c r="O26" s="65">
        <f t="shared" si="1"/>
        <v>1.3323953150747556</v>
      </c>
      <c r="P26" s="66">
        <f t="shared" si="2"/>
        <v>18.73380234246262</v>
      </c>
      <c r="Q26" s="65">
        <f t="shared" si="3"/>
        <v>327.14182047799113</v>
      </c>
      <c r="R26" s="66">
        <f t="shared" si="4"/>
        <v>13.204402073910122</v>
      </c>
      <c r="S26" s="67">
        <f t="shared" si="10"/>
        <v>2.2999999999999545</v>
      </c>
      <c r="T26" s="67">
        <f t="shared" si="6"/>
        <v>0.7999999999999545</v>
      </c>
      <c r="U26" s="67">
        <f t="shared" si="7"/>
        <v>-0.34209775316799096</v>
      </c>
      <c r="V26" s="67">
        <f t="shared" si="8"/>
        <v>-0.7000000000000028</v>
      </c>
      <c r="W26" s="67">
        <f t="shared" si="9"/>
        <v>-1.7470231152768747</v>
      </c>
      <c r="X26">
        <f t="shared" si="5"/>
        <v>45</v>
      </c>
    </row>
    <row r="27" spans="1:24" ht="13.5">
      <c r="A27" s="14">
        <v>27</v>
      </c>
      <c r="B27" s="73">
        <v>22</v>
      </c>
      <c r="C27" s="69">
        <v>1006.6</v>
      </c>
      <c r="D27" s="69">
        <v>1008.2</v>
      </c>
      <c r="E27" s="69">
        <v>19.3</v>
      </c>
      <c r="F27" s="69">
        <v>93</v>
      </c>
      <c r="G27" s="70" t="s">
        <v>137</v>
      </c>
      <c r="H27" s="69">
        <v>0.8</v>
      </c>
      <c r="I27" s="69" t="s">
        <v>132</v>
      </c>
      <c r="J27" s="69"/>
      <c r="K27" s="69"/>
      <c r="L27" s="69"/>
      <c r="M27" s="69"/>
      <c r="N27" s="65">
        <f t="shared" si="0"/>
        <v>18.140475725958595</v>
      </c>
      <c r="O27" s="65">
        <f t="shared" si="1"/>
        <v>1.1595242740414058</v>
      </c>
      <c r="P27" s="66">
        <f t="shared" si="2"/>
        <v>18.720237862979296</v>
      </c>
      <c r="Q27" s="65">
        <f t="shared" si="3"/>
        <v>327.20870185551746</v>
      </c>
      <c r="R27" s="66">
        <f t="shared" si="4"/>
        <v>13.271390816672788</v>
      </c>
      <c r="S27" s="67">
        <f t="shared" si="10"/>
        <v>1.3000000000000682</v>
      </c>
      <c r="T27" s="68">
        <f t="shared" si="6"/>
        <v>-0.2999999999999545</v>
      </c>
      <c r="U27" s="68">
        <f t="shared" si="7"/>
        <v>0.07287104103335196</v>
      </c>
      <c r="V27" s="68">
        <f t="shared" si="8"/>
        <v>-0.09999999999999787</v>
      </c>
      <c r="W27" s="67">
        <f t="shared" si="9"/>
        <v>0.06688137752632883</v>
      </c>
      <c r="X27">
        <f t="shared" si="5"/>
        <v>22.5</v>
      </c>
    </row>
    <row r="28" spans="1:24" ht="13.5">
      <c r="A28" s="14">
        <v>27</v>
      </c>
      <c r="B28" s="73">
        <v>23</v>
      </c>
      <c r="C28" s="69">
        <v>1006.5</v>
      </c>
      <c r="D28" s="69">
        <v>1008.1</v>
      </c>
      <c r="E28" s="69">
        <v>19.4</v>
      </c>
      <c r="F28" s="69">
        <v>93</v>
      </c>
      <c r="G28" s="70" t="s">
        <v>137</v>
      </c>
      <c r="H28" s="69">
        <v>0.5</v>
      </c>
      <c r="I28" s="69" t="s">
        <v>132</v>
      </c>
      <c r="J28" s="69"/>
      <c r="K28" s="69"/>
      <c r="L28" s="69"/>
      <c r="M28" s="69"/>
      <c r="N28" s="65">
        <f t="shared" si="0"/>
        <v>18.23959506772536</v>
      </c>
      <c r="O28" s="65">
        <f t="shared" si="1"/>
        <v>1.1604049322746377</v>
      </c>
      <c r="P28" s="66">
        <f t="shared" si="2"/>
        <v>18.81979753386268</v>
      </c>
      <c r="Q28" s="65">
        <f t="shared" si="3"/>
        <v>327.5635848581986</v>
      </c>
      <c r="R28" s="66">
        <f t="shared" si="4"/>
        <v>13.358839418394576</v>
      </c>
      <c r="S28" s="67">
        <f t="shared" si="10"/>
        <v>0.39999999999997726</v>
      </c>
      <c r="T28" s="68">
        <f t="shared" si="6"/>
        <v>-0.10000000000002274</v>
      </c>
      <c r="U28" s="68">
        <f t="shared" si="7"/>
        <v>0.09911934176676596</v>
      </c>
      <c r="V28" s="68">
        <f t="shared" si="8"/>
        <v>0.09999999999999787</v>
      </c>
      <c r="W28" s="67">
        <f t="shared" si="9"/>
        <v>0.3548830026811629</v>
      </c>
      <c r="X28">
        <f t="shared" si="5"/>
        <v>22.5</v>
      </c>
    </row>
    <row r="29" spans="1:24" ht="13.5">
      <c r="A29" s="14">
        <v>27</v>
      </c>
      <c r="B29" s="73">
        <v>24</v>
      </c>
      <c r="C29" s="69">
        <v>1006.6</v>
      </c>
      <c r="D29" s="69">
        <v>1008.2</v>
      </c>
      <c r="E29" s="69">
        <v>19.8</v>
      </c>
      <c r="F29" s="69">
        <v>92</v>
      </c>
      <c r="G29" s="70" t="s">
        <v>146</v>
      </c>
      <c r="H29" s="69">
        <v>0.4</v>
      </c>
      <c r="I29" s="69" t="s">
        <v>132</v>
      </c>
      <c r="J29" s="69"/>
      <c r="K29" s="69"/>
      <c r="L29" s="69"/>
      <c r="M29" s="69"/>
      <c r="N29" s="65">
        <f t="shared" si="0"/>
        <v>18.463557450730093</v>
      </c>
      <c r="O29" s="65">
        <f t="shared" si="1"/>
        <v>1.3364425492699077</v>
      </c>
      <c r="P29" s="66">
        <f t="shared" si="2"/>
        <v>19.131778725365045</v>
      </c>
      <c r="Q29" s="65">
        <f t="shared" si="3"/>
        <v>328.5534511905744</v>
      </c>
      <c r="R29" s="66">
        <f t="shared" si="4"/>
        <v>13.55389961979318</v>
      </c>
      <c r="S29" s="67">
        <f t="shared" si="10"/>
        <v>-0.2999999999999545</v>
      </c>
      <c r="T29" s="68">
        <f t="shared" si="6"/>
        <v>0.10000000000002274</v>
      </c>
      <c r="U29" s="68">
        <f t="shared" si="7"/>
        <v>0.22396238300473215</v>
      </c>
      <c r="V29" s="68">
        <f t="shared" si="8"/>
        <v>0.40000000000000213</v>
      </c>
      <c r="W29" s="67">
        <f t="shared" si="9"/>
        <v>0.9898663323757546</v>
      </c>
      <c r="X29">
        <f t="shared" si="5"/>
        <v>45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O29"/>
  <sheetViews>
    <sheetView tabSelected="1" workbookViewId="0" topLeftCell="AG1">
      <selection activeCell="AT18" sqref="AT18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銚子</v>
      </c>
    </row>
    <row r="2" ht="17.25" customHeight="1">
      <c r="B2" t="s">
        <v>160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159</v>
      </c>
      <c r="M4" s="59" t="s">
        <v>159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1005.7</v>
      </c>
      <c r="D6" s="69">
        <v>1009</v>
      </c>
      <c r="E6" s="69">
        <v>22.4</v>
      </c>
      <c r="F6" s="69">
        <v>100</v>
      </c>
      <c r="G6" s="70" t="s">
        <v>161</v>
      </c>
      <c r="H6" s="69">
        <v>10.4</v>
      </c>
      <c r="I6" s="69">
        <v>0</v>
      </c>
      <c r="J6" s="69"/>
      <c r="K6" s="69"/>
      <c r="L6" s="69"/>
      <c r="M6" s="69"/>
      <c r="N6" s="65">
        <f aca="true" t="shared" si="0" ref="N6:N29">4303.4/(19.482-LN(EXP(19.482-4303.4/(E6+243.5))*F6/100))-243.5</f>
        <v>22.399999999999977</v>
      </c>
      <c r="O6" s="65">
        <f aca="true" t="shared" si="1" ref="O6:O29">E6-N6</f>
        <v>0</v>
      </c>
      <c r="P6" s="66">
        <f aca="true" t="shared" si="2" ref="P6:P29">(E6+N6)/2</f>
        <v>22.399999999999988</v>
      </c>
      <c r="Q6" s="65">
        <f aca="true" t="shared" si="3" ref="Q6:Q29">EPT(E6,F6,C6)</f>
        <v>341.9517752122697</v>
      </c>
      <c r="R6" s="66">
        <f aca="true" t="shared" si="4" ref="R6:R29">q(E6,F6,C6)</f>
        <v>17.484909714683983</v>
      </c>
      <c r="S6" s="67"/>
      <c r="T6" s="67"/>
      <c r="U6" s="67"/>
      <c r="V6" s="67"/>
      <c r="W6" s="14"/>
      <c r="X6">
        <f aca="true" t="shared" si="5" ref="X6:X29">fuukou_get(G6)</f>
        <v>67.5</v>
      </c>
    </row>
    <row r="7" spans="1:24" ht="13.5">
      <c r="A7" s="14">
        <v>27</v>
      </c>
      <c r="B7" s="73">
        <v>2</v>
      </c>
      <c r="C7" s="69">
        <v>1005</v>
      </c>
      <c r="D7" s="69">
        <v>1008.3</v>
      </c>
      <c r="E7" s="69">
        <v>22.4</v>
      </c>
      <c r="F7" s="69">
        <v>100</v>
      </c>
      <c r="G7" s="70" t="s">
        <v>162</v>
      </c>
      <c r="H7" s="69">
        <v>14.5</v>
      </c>
      <c r="I7" s="69">
        <v>0.5</v>
      </c>
      <c r="J7" s="69"/>
      <c r="K7" s="69"/>
      <c r="L7" s="69"/>
      <c r="M7" s="69"/>
      <c r="N7" s="65">
        <f t="shared" si="0"/>
        <v>22.399999999999977</v>
      </c>
      <c r="O7" s="65">
        <f t="shared" si="1"/>
        <v>0</v>
      </c>
      <c r="P7" s="66">
        <f t="shared" si="2"/>
        <v>22.399999999999988</v>
      </c>
      <c r="Q7" s="65">
        <f t="shared" si="3"/>
        <v>342.0559184034843</v>
      </c>
      <c r="R7" s="66">
        <f t="shared" si="4"/>
        <v>17.49743085238592</v>
      </c>
      <c r="S7" s="67"/>
      <c r="T7" s="67">
        <f aca="true" t="shared" si="6" ref="T7:T29">D7-D6</f>
        <v>-0.7000000000000455</v>
      </c>
      <c r="U7" s="67">
        <f aca="true" t="shared" si="7" ref="U7:U29">N7-N6</f>
        <v>0</v>
      </c>
      <c r="V7" s="67">
        <f aca="true" t="shared" si="8" ref="V7:V29">E7-E6</f>
        <v>0</v>
      </c>
      <c r="W7" s="67">
        <f aca="true" t="shared" si="9" ref="W7:W29">Q7-Q6</f>
        <v>0.10414319121463222</v>
      </c>
      <c r="X7">
        <f t="shared" si="5"/>
        <v>112.5</v>
      </c>
    </row>
    <row r="8" spans="1:24" ht="13.5">
      <c r="A8" s="14">
        <v>27</v>
      </c>
      <c r="B8" s="73">
        <v>3</v>
      </c>
      <c r="C8" s="69">
        <v>1004.9</v>
      </c>
      <c r="D8" s="69">
        <v>1008.1</v>
      </c>
      <c r="E8" s="69">
        <v>22.8</v>
      </c>
      <c r="F8" s="69">
        <v>100</v>
      </c>
      <c r="G8" s="70" t="s">
        <v>162</v>
      </c>
      <c r="H8" s="69">
        <v>8.3</v>
      </c>
      <c r="I8" s="69">
        <v>4</v>
      </c>
      <c r="J8" s="69"/>
      <c r="K8" s="69"/>
      <c r="L8" s="69"/>
      <c r="M8" s="69"/>
      <c r="N8" s="65">
        <f t="shared" si="0"/>
        <v>22.80000000000001</v>
      </c>
      <c r="O8" s="65">
        <f t="shared" si="1"/>
        <v>0</v>
      </c>
      <c r="P8" s="66">
        <f t="shared" si="2"/>
        <v>22.800000000000004</v>
      </c>
      <c r="Q8" s="65">
        <f t="shared" si="3"/>
        <v>343.76992128868744</v>
      </c>
      <c r="R8" s="66">
        <f t="shared" si="4"/>
        <v>17.95115255885207</v>
      </c>
      <c r="S8" s="67"/>
      <c r="T8" s="67">
        <f t="shared" si="6"/>
        <v>-0.1999999999999318</v>
      </c>
      <c r="U8" s="67">
        <f t="shared" si="7"/>
        <v>0.4000000000000341</v>
      </c>
      <c r="V8" s="67">
        <f t="shared" si="8"/>
        <v>0.40000000000000213</v>
      </c>
      <c r="W8" s="67">
        <f t="shared" si="9"/>
        <v>1.714002885203115</v>
      </c>
      <c r="X8">
        <f t="shared" si="5"/>
        <v>112.5</v>
      </c>
    </row>
    <row r="9" spans="1:24" ht="13.5">
      <c r="A9" s="14">
        <v>27</v>
      </c>
      <c r="B9" s="73">
        <v>4</v>
      </c>
      <c r="C9" s="69">
        <v>1004.9</v>
      </c>
      <c r="D9" s="69">
        <v>1008.1</v>
      </c>
      <c r="E9" s="69">
        <v>22.7</v>
      </c>
      <c r="F9" s="69">
        <v>100</v>
      </c>
      <c r="G9" s="70" t="s">
        <v>136</v>
      </c>
      <c r="H9" s="69">
        <v>0.9</v>
      </c>
      <c r="I9" s="69">
        <v>8.5</v>
      </c>
      <c r="J9" s="69"/>
      <c r="K9" s="69"/>
      <c r="L9" s="69"/>
      <c r="M9" s="69"/>
      <c r="N9" s="65">
        <f t="shared" si="0"/>
        <v>22.69999999999999</v>
      </c>
      <c r="O9" s="65">
        <f t="shared" si="1"/>
        <v>0</v>
      </c>
      <c r="P9" s="66">
        <f t="shared" si="2"/>
        <v>22.699999999999996</v>
      </c>
      <c r="Q9" s="65">
        <f t="shared" si="3"/>
        <v>343.34184339111766</v>
      </c>
      <c r="R9" s="66">
        <f t="shared" si="4"/>
        <v>17.837172196332013</v>
      </c>
      <c r="S9" s="67">
        <f aca="true" t="shared" si="10" ref="S9:S29">D9-D6</f>
        <v>-0.8999999999999773</v>
      </c>
      <c r="T9" s="67">
        <f t="shared" si="6"/>
        <v>0</v>
      </c>
      <c r="U9" s="67">
        <f t="shared" si="7"/>
        <v>-0.10000000000002274</v>
      </c>
      <c r="V9" s="67">
        <f t="shared" si="8"/>
        <v>-0.10000000000000142</v>
      </c>
      <c r="W9" s="67">
        <f t="shared" si="9"/>
        <v>-0.42807789756977854</v>
      </c>
      <c r="X9">
        <f t="shared" si="5"/>
        <v>157.5</v>
      </c>
    </row>
    <row r="10" spans="1:24" ht="13.5">
      <c r="A10" s="14">
        <v>27</v>
      </c>
      <c r="B10" s="73">
        <v>5</v>
      </c>
      <c r="C10" s="69">
        <v>1005</v>
      </c>
      <c r="D10" s="69">
        <v>1008.3</v>
      </c>
      <c r="E10" s="69">
        <v>22.2</v>
      </c>
      <c r="F10" s="69">
        <v>100</v>
      </c>
      <c r="G10" s="70" t="s">
        <v>146</v>
      </c>
      <c r="H10" s="69">
        <v>1</v>
      </c>
      <c r="I10" s="69">
        <v>0</v>
      </c>
      <c r="J10" s="69"/>
      <c r="K10" s="69">
        <v>0</v>
      </c>
      <c r="L10" s="69"/>
      <c r="M10" s="69"/>
      <c r="N10" s="65">
        <f t="shared" si="0"/>
        <v>22.19999999999999</v>
      </c>
      <c r="O10" s="65">
        <f t="shared" si="1"/>
        <v>0</v>
      </c>
      <c r="P10" s="66">
        <f t="shared" si="2"/>
        <v>22.199999999999996</v>
      </c>
      <c r="Q10" s="65">
        <f t="shared" si="3"/>
        <v>341.21950141643373</v>
      </c>
      <c r="R10" s="66">
        <f t="shared" si="4"/>
        <v>17.27544172640837</v>
      </c>
      <c r="S10" s="67">
        <f t="shared" si="10"/>
        <v>0</v>
      </c>
      <c r="T10" s="67">
        <f t="shared" si="6"/>
        <v>0.1999999999999318</v>
      </c>
      <c r="U10" s="67">
        <f t="shared" si="7"/>
        <v>-0.5</v>
      </c>
      <c r="V10" s="67">
        <f t="shared" si="8"/>
        <v>-0.5</v>
      </c>
      <c r="W10" s="67">
        <f t="shared" si="9"/>
        <v>-2.122341974683934</v>
      </c>
      <c r="X10">
        <f t="shared" si="5"/>
        <v>45</v>
      </c>
    </row>
    <row r="11" spans="1:24" ht="13.5">
      <c r="A11" s="14">
        <v>27</v>
      </c>
      <c r="B11" s="73">
        <v>6</v>
      </c>
      <c r="C11" s="69">
        <v>1004.9</v>
      </c>
      <c r="D11" s="69">
        <v>1008.1</v>
      </c>
      <c r="E11" s="69">
        <v>22.5</v>
      </c>
      <c r="F11" s="69">
        <v>100</v>
      </c>
      <c r="G11" s="70" t="s">
        <v>163</v>
      </c>
      <c r="H11" s="69">
        <v>3.9</v>
      </c>
      <c r="I11" s="69">
        <v>0</v>
      </c>
      <c r="J11" s="69" t="s">
        <v>132</v>
      </c>
      <c r="K11" s="69">
        <v>0.01</v>
      </c>
      <c r="L11" s="69"/>
      <c r="M11" s="69"/>
      <c r="N11" s="65">
        <f t="shared" si="0"/>
        <v>22.499999999999943</v>
      </c>
      <c r="O11" s="65">
        <f t="shared" si="1"/>
        <v>5.684341886080802E-14</v>
      </c>
      <c r="P11" s="66">
        <f t="shared" si="2"/>
        <v>22.49999999999997</v>
      </c>
      <c r="Q11" s="65">
        <f t="shared" si="3"/>
        <v>342.4923018537723</v>
      </c>
      <c r="R11" s="66">
        <f t="shared" si="4"/>
        <v>17.61121012145319</v>
      </c>
      <c r="S11" s="67">
        <f t="shared" si="10"/>
        <v>0</v>
      </c>
      <c r="T11" s="67">
        <f t="shared" si="6"/>
        <v>-0.1999999999999318</v>
      </c>
      <c r="U11" s="67">
        <f t="shared" si="7"/>
        <v>0.2999999999999545</v>
      </c>
      <c r="V11" s="67">
        <f t="shared" si="8"/>
        <v>0.3000000000000007</v>
      </c>
      <c r="W11" s="67">
        <f t="shared" si="9"/>
        <v>1.2728004373385602</v>
      </c>
      <c r="X11">
        <f t="shared" si="5"/>
        <v>90</v>
      </c>
    </row>
    <row r="12" spans="1:24" ht="13.5">
      <c r="A12" s="14">
        <v>27</v>
      </c>
      <c r="B12" s="73">
        <v>7</v>
      </c>
      <c r="C12" s="69">
        <v>1005.5</v>
      </c>
      <c r="D12" s="69">
        <v>1008.8</v>
      </c>
      <c r="E12" s="69">
        <v>22.1</v>
      </c>
      <c r="F12" s="69">
        <v>100</v>
      </c>
      <c r="G12" s="70" t="s">
        <v>163</v>
      </c>
      <c r="H12" s="69">
        <v>5.3</v>
      </c>
      <c r="I12" s="69">
        <v>0</v>
      </c>
      <c r="J12" s="69" t="s">
        <v>132</v>
      </c>
      <c r="K12" s="69">
        <v>0.06</v>
      </c>
      <c r="L12" s="69"/>
      <c r="M12" s="69"/>
      <c r="N12" s="65">
        <f t="shared" si="0"/>
        <v>22.100000000000023</v>
      </c>
      <c r="O12" s="65">
        <f t="shared" si="1"/>
        <v>0</v>
      </c>
      <c r="P12" s="66">
        <f t="shared" si="2"/>
        <v>22.100000000000012</v>
      </c>
      <c r="Q12" s="65">
        <f t="shared" si="3"/>
        <v>340.73084385088515</v>
      </c>
      <c r="R12" s="66">
        <f t="shared" si="4"/>
        <v>17.15665145740252</v>
      </c>
      <c r="S12" s="67">
        <f t="shared" si="10"/>
        <v>0.6999999999999318</v>
      </c>
      <c r="T12" s="67">
        <f t="shared" si="6"/>
        <v>0.6999999999999318</v>
      </c>
      <c r="U12" s="67">
        <f t="shared" si="7"/>
        <v>-0.3999999999999204</v>
      </c>
      <c r="V12" s="67">
        <f t="shared" si="8"/>
        <v>-0.3999999999999986</v>
      </c>
      <c r="W12" s="67">
        <f t="shared" si="9"/>
        <v>-1.7614580028871387</v>
      </c>
      <c r="X12">
        <f t="shared" si="5"/>
        <v>90</v>
      </c>
    </row>
    <row r="13" spans="1:24" ht="13.5">
      <c r="A13" s="14">
        <v>27</v>
      </c>
      <c r="B13" s="73">
        <v>8</v>
      </c>
      <c r="C13" s="69">
        <v>1005.1</v>
      </c>
      <c r="D13" s="69">
        <v>1008.3</v>
      </c>
      <c r="E13" s="69">
        <v>23.4</v>
      </c>
      <c r="F13" s="69">
        <v>100</v>
      </c>
      <c r="G13" s="70" t="s">
        <v>163</v>
      </c>
      <c r="H13" s="69">
        <v>3.2</v>
      </c>
      <c r="I13" s="69">
        <v>0.5</v>
      </c>
      <c r="J13" s="69">
        <v>0.3</v>
      </c>
      <c r="K13" s="69">
        <v>0.71</v>
      </c>
      <c r="L13" s="69"/>
      <c r="M13" s="69"/>
      <c r="N13" s="65">
        <f t="shared" si="0"/>
        <v>23.399999999999977</v>
      </c>
      <c r="O13" s="65">
        <f t="shared" si="1"/>
        <v>0</v>
      </c>
      <c r="P13" s="66">
        <f t="shared" si="2"/>
        <v>23.399999999999988</v>
      </c>
      <c r="Q13" s="65">
        <f t="shared" si="3"/>
        <v>346.35488464533273</v>
      </c>
      <c r="R13" s="66">
        <f t="shared" si="4"/>
        <v>18.645438205693175</v>
      </c>
      <c r="S13" s="67">
        <f t="shared" si="10"/>
        <v>0</v>
      </c>
      <c r="T13" s="67">
        <f t="shared" si="6"/>
        <v>-0.5</v>
      </c>
      <c r="U13" s="67">
        <f t="shared" si="7"/>
        <v>1.2999999999999545</v>
      </c>
      <c r="V13" s="67">
        <f t="shared" si="8"/>
        <v>1.2999999999999972</v>
      </c>
      <c r="W13" s="67">
        <f t="shared" si="9"/>
        <v>5.6240407944475805</v>
      </c>
      <c r="X13">
        <f t="shared" si="5"/>
        <v>90</v>
      </c>
    </row>
    <row r="14" spans="1:24" ht="13.5">
      <c r="A14" s="14">
        <v>27</v>
      </c>
      <c r="B14" s="73">
        <v>9</v>
      </c>
      <c r="C14" s="69">
        <v>1005.6</v>
      </c>
      <c r="D14" s="69">
        <v>1008.8</v>
      </c>
      <c r="E14" s="69">
        <v>22.8</v>
      </c>
      <c r="F14" s="69">
        <v>100</v>
      </c>
      <c r="G14" s="70" t="s">
        <v>163</v>
      </c>
      <c r="H14" s="69">
        <v>6.2</v>
      </c>
      <c r="I14" s="69" t="s">
        <v>132</v>
      </c>
      <c r="J14" s="69">
        <v>0.6</v>
      </c>
      <c r="K14" s="69">
        <v>1.39</v>
      </c>
      <c r="L14" s="69" t="s">
        <v>132</v>
      </c>
      <c r="M14" s="69" t="s">
        <v>132</v>
      </c>
      <c r="N14" s="65">
        <f t="shared" si="0"/>
        <v>22.80000000000001</v>
      </c>
      <c r="O14" s="65">
        <f t="shared" si="1"/>
        <v>0</v>
      </c>
      <c r="P14" s="66">
        <f t="shared" si="2"/>
        <v>22.800000000000004</v>
      </c>
      <c r="Q14" s="65">
        <f t="shared" si="3"/>
        <v>343.66432974048087</v>
      </c>
      <c r="R14" s="66">
        <f t="shared" si="4"/>
        <v>17.938296352657794</v>
      </c>
      <c r="S14" s="67">
        <f t="shared" si="10"/>
        <v>0.6999999999999318</v>
      </c>
      <c r="T14" s="67">
        <f t="shared" si="6"/>
        <v>0.5</v>
      </c>
      <c r="U14" s="67">
        <f t="shared" si="7"/>
        <v>-0.5999999999999659</v>
      </c>
      <c r="V14" s="67">
        <f t="shared" si="8"/>
        <v>-0.5999999999999979</v>
      </c>
      <c r="W14" s="67">
        <f t="shared" si="9"/>
        <v>-2.690554904851865</v>
      </c>
      <c r="X14">
        <f t="shared" si="5"/>
        <v>90</v>
      </c>
    </row>
    <row r="15" spans="1:24" ht="13.5">
      <c r="A15" s="14">
        <v>27</v>
      </c>
      <c r="B15" s="73">
        <v>10</v>
      </c>
      <c r="C15" s="69">
        <v>1004.9</v>
      </c>
      <c r="D15" s="69">
        <v>1008.1</v>
      </c>
      <c r="E15" s="69">
        <v>22.8</v>
      </c>
      <c r="F15" s="69">
        <v>97</v>
      </c>
      <c r="G15" s="70" t="s">
        <v>163</v>
      </c>
      <c r="H15" s="69">
        <v>6.8</v>
      </c>
      <c r="I15" s="69">
        <v>0</v>
      </c>
      <c r="J15" s="69" t="s">
        <v>132</v>
      </c>
      <c r="K15" s="69">
        <v>0.78</v>
      </c>
      <c r="L15" s="69"/>
      <c r="M15" s="69"/>
      <c r="N15" s="65">
        <f t="shared" si="0"/>
        <v>22.29900729190541</v>
      </c>
      <c r="O15" s="65">
        <f t="shared" si="1"/>
        <v>0.5009927080945893</v>
      </c>
      <c r="P15" s="66">
        <f t="shared" si="2"/>
        <v>22.549503645952704</v>
      </c>
      <c r="Q15" s="65">
        <f t="shared" si="3"/>
        <v>342.346910401013</v>
      </c>
      <c r="R15" s="66">
        <f t="shared" si="4"/>
        <v>17.386786489203164</v>
      </c>
      <c r="S15" s="67">
        <f t="shared" si="10"/>
        <v>-0.6999999999999318</v>
      </c>
      <c r="T15" s="67">
        <f t="shared" si="6"/>
        <v>-0.6999999999999318</v>
      </c>
      <c r="U15" s="67">
        <f t="shared" si="7"/>
        <v>-0.5009927080946</v>
      </c>
      <c r="V15" s="67">
        <f t="shared" si="8"/>
        <v>0</v>
      </c>
      <c r="W15" s="67">
        <f t="shared" si="9"/>
        <v>-1.3174193394678468</v>
      </c>
      <c r="X15">
        <f t="shared" si="5"/>
        <v>90</v>
      </c>
    </row>
    <row r="16" spans="1:24" ht="13.5">
      <c r="A16" s="14">
        <v>27</v>
      </c>
      <c r="B16" s="73">
        <v>11</v>
      </c>
      <c r="C16" s="69">
        <v>1004.1</v>
      </c>
      <c r="D16" s="69">
        <v>1007.3</v>
      </c>
      <c r="E16" s="69">
        <v>22.3</v>
      </c>
      <c r="F16" s="69">
        <v>100</v>
      </c>
      <c r="G16" s="70" t="s">
        <v>162</v>
      </c>
      <c r="H16" s="69">
        <v>5.6</v>
      </c>
      <c r="I16" s="69">
        <v>4</v>
      </c>
      <c r="J16" s="69" t="s">
        <v>132</v>
      </c>
      <c r="K16" s="69">
        <v>0.25</v>
      </c>
      <c r="L16" s="69"/>
      <c r="M16" s="69"/>
      <c r="N16" s="65">
        <f t="shared" si="0"/>
        <v>22.30000000000001</v>
      </c>
      <c r="O16" s="65">
        <f t="shared" si="1"/>
        <v>0</v>
      </c>
      <c r="P16" s="66">
        <f t="shared" si="2"/>
        <v>22.300000000000004</v>
      </c>
      <c r="Q16" s="65">
        <f t="shared" si="3"/>
        <v>341.7702749597147</v>
      </c>
      <c r="R16" s="66">
        <f t="shared" si="4"/>
        <v>17.40212951956689</v>
      </c>
      <c r="S16" s="67">
        <f t="shared" si="10"/>
        <v>-1</v>
      </c>
      <c r="T16" s="67">
        <f t="shared" si="6"/>
        <v>-0.8000000000000682</v>
      </c>
      <c r="U16" s="67">
        <f t="shared" si="7"/>
        <v>0.0009927080945999478</v>
      </c>
      <c r="V16" s="67">
        <f t="shared" si="8"/>
        <v>-0.5</v>
      </c>
      <c r="W16" s="67">
        <f t="shared" si="9"/>
        <v>-0.5766354412983219</v>
      </c>
      <c r="X16">
        <f t="shared" si="5"/>
        <v>112.5</v>
      </c>
    </row>
    <row r="17" spans="1:24" ht="13.5">
      <c r="A17" s="14">
        <v>27</v>
      </c>
      <c r="B17" s="73">
        <v>12</v>
      </c>
      <c r="C17" s="69">
        <v>1001.5</v>
      </c>
      <c r="D17" s="69">
        <v>1004.7</v>
      </c>
      <c r="E17" s="69">
        <v>21.9</v>
      </c>
      <c r="F17" s="69">
        <v>100</v>
      </c>
      <c r="G17" s="70" t="s">
        <v>161</v>
      </c>
      <c r="H17" s="69">
        <v>9.2</v>
      </c>
      <c r="I17" s="69">
        <v>2.5</v>
      </c>
      <c r="J17" s="69" t="s">
        <v>132</v>
      </c>
      <c r="K17" s="69">
        <v>0.41</v>
      </c>
      <c r="L17" s="69"/>
      <c r="M17" s="69"/>
      <c r="N17" s="65">
        <f t="shared" si="0"/>
        <v>21.899999999999977</v>
      </c>
      <c r="O17" s="65">
        <f t="shared" si="1"/>
        <v>0</v>
      </c>
      <c r="P17" s="66">
        <f t="shared" si="2"/>
        <v>21.899999999999988</v>
      </c>
      <c r="Q17" s="65">
        <f t="shared" si="3"/>
        <v>340.4948159759726</v>
      </c>
      <c r="R17" s="66">
        <f t="shared" si="4"/>
        <v>17.008163893004717</v>
      </c>
      <c r="S17" s="67">
        <f t="shared" si="10"/>
        <v>-4.099999999999909</v>
      </c>
      <c r="T17" s="67">
        <f t="shared" si="6"/>
        <v>-2.599999999999909</v>
      </c>
      <c r="U17" s="67">
        <f t="shared" si="7"/>
        <v>-0.4000000000000341</v>
      </c>
      <c r="V17" s="67">
        <f t="shared" si="8"/>
        <v>-0.40000000000000213</v>
      </c>
      <c r="W17" s="67">
        <f t="shared" si="9"/>
        <v>-1.2754589837421122</v>
      </c>
      <c r="X17">
        <f t="shared" si="5"/>
        <v>67.5</v>
      </c>
    </row>
    <row r="18" spans="1:24" ht="13.5">
      <c r="A18" s="14">
        <v>27</v>
      </c>
      <c r="B18" s="73">
        <v>13</v>
      </c>
      <c r="C18" s="69">
        <v>999.3</v>
      </c>
      <c r="D18" s="69">
        <v>1002.5</v>
      </c>
      <c r="E18" s="69">
        <v>21.4</v>
      </c>
      <c r="F18" s="69">
        <v>100</v>
      </c>
      <c r="G18" s="70" t="s">
        <v>146</v>
      </c>
      <c r="H18" s="69">
        <v>11.2</v>
      </c>
      <c r="I18" s="69">
        <v>1</v>
      </c>
      <c r="J18" s="69" t="s">
        <v>132</v>
      </c>
      <c r="K18" s="69">
        <v>0.12</v>
      </c>
      <c r="L18" s="69"/>
      <c r="M18" s="69"/>
      <c r="N18" s="65">
        <f t="shared" si="0"/>
        <v>21.399999999999977</v>
      </c>
      <c r="O18" s="65">
        <f t="shared" si="1"/>
        <v>0</v>
      </c>
      <c r="P18" s="66">
        <f t="shared" si="2"/>
        <v>21.399999999999988</v>
      </c>
      <c r="Q18" s="65">
        <f t="shared" si="3"/>
        <v>338.7829226498268</v>
      </c>
      <c r="R18" s="66">
        <f t="shared" si="4"/>
        <v>16.509271573277818</v>
      </c>
      <c r="S18" s="67">
        <f t="shared" si="10"/>
        <v>-5.600000000000023</v>
      </c>
      <c r="T18" s="67">
        <f t="shared" si="6"/>
        <v>-2.2000000000000455</v>
      </c>
      <c r="U18" s="67">
        <f t="shared" si="7"/>
        <v>-0.5</v>
      </c>
      <c r="V18" s="67">
        <f t="shared" si="8"/>
        <v>-0.5</v>
      </c>
      <c r="W18" s="67">
        <f t="shared" si="9"/>
        <v>-1.7118933261457983</v>
      </c>
      <c r="X18">
        <f t="shared" si="5"/>
        <v>45</v>
      </c>
    </row>
    <row r="19" spans="1:23" ht="13.5">
      <c r="A19" s="14">
        <v>27</v>
      </c>
      <c r="B19" s="73">
        <v>14</v>
      </c>
      <c r="C19" s="69">
        <v>998.9</v>
      </c>
      <c r="D19" s="69">
        <v>1002.2</v>
      </c>
      <c r="E19" s="69">
        <v>20.7</v>
      </c>
      <c r="F19" s="69">
        <v>100</v>
      </c>
      <c r="G19" s="70"/>
      <c r="H19" s="69"/>
      <c r="I19" s="69">
        <v>47.5</v>
      </c>
      <c r="J19" s="69" t="s">
        <v>132</v>
      </c>
      <c r="K19" s="69">
        <v>0.02</v>
      </c>
      <c r="L19" s="69"/>
      <c r="M19" s="69"/>
      <c r="N19" s="65">
        <f t="shared" si="0"/>
        <v>20.69999999999999</v>
      </c>
      <c r="O19" s="65">
        <f t="shared" si="1"/>
        <v>0</v>
      </c>
      <c r="P19" s="66">
        <f t="shared" si="2"/>
        <v>20.699999999999996</v>
      </c>
      <c r="Q19" s="65">
        <f t="shared" si="3"/>
        <v>336.0735542147558</v>
      </c>
      <c r="R19" s="66">
        <f t="shared" si="4"/>
        <v>15.789596700652684</v>
      </c>
      <c r="S19" s="67">
        <f t="shared" si="10"/>
        <v>-5.099999999999909</v>
      </c>
      <c r="T19" s="67">
        <f t="shared" si="6"/>
        <v>-0.2999999999999545</v>
      </c>
      <c r="U19" s="67">
        <f t="shared" si="7"/>
        <v>-0.6999999999999886</v>
      </c>
      <c r="V19" s="67">
        <f t="shared" si="8"/>
        <v>-0.6999999999999993</v>
      </c>
      <c r="W19" s="67">
        <f t="shared" si="9"/>
        <v>-2.709368435070985</v>
      </c>
    </row>
    <row r="20" spans="1:24" ht="13.5">
      <c r="A20" s="14">
        <v>27</v>
      </c>
      <c r="B20" s="73">
        <v>15</v>
      </c>
      <c r="C20" s="69">
        <v>997.7</v>
      </c>
      <c r="D20" s="69">
        <v>1000.9</v>
      </c>
      <c r="E20" s="69">
        <v>20.7</v>
      </c>
      <c r="F20" s="69">
        <v>100</v>
      </c>
      <c r="G20" s="70" t="s">
        <v>137</v>
      </c>
      <c r="H20" s="69">
        <v>12.4</v>
      </c>
      <c r="I20" s="69">
        <v>15</v>
      </c>
      <c r="J20" s="69" t="s">
        <v>132</v>
      </c>
      <c r="K20" s="69">
        <v>0.33</v>
      </c>
      <c r="L20" s="69" t="s">
        <v>132</v>
      </c>
      <c r="M20" s="69" t="s">
        <v>132</v>
      </c>
      <c r="N20" s="65">
        <f t="shared" si="0"/>
        <v>20.69999999999999</v>
      </c>
      <c r="O20" s="65">
        <f t="shared" si="1"/>
        <v>0</v>
      </c>
      <c r="P20" s="66">
        <f t="shared" si="2"/>
        <v>20.699999999999996</v>
      </c>
      <c r="Q20" s="65">
        <f t="shared" si="3"/>
        <v>336.24452561245386</v>
      </c>
      <c r="R20" s="66">
        <f t="shared" si="4"/>
        <v>15.80907058640324</v>
      </c>
      <c r="S20" s="67">
        <f t="shared" si="10"/>
        <v>-3.800000000000068</v>
      </c>
      <c r="T20" s="67">
        <f t="shared" si="6"/>
        <v>-1.3000000000000682</v>
      </c>
      <c r="U20" s="67">
        <f t="shared" si="7"/>
        <v>0</v>
      </c>
      <c r="V20" s="67">
        <f t="shared" si="8"/>
        <v>0</v>
      </c>
      <c r="W20" s="67">
        <f t="shared" si="9"/>
        <v>0.1709713976980538</v>
      </c>
      <c r="X20">
        <f t="shared" si="5"/>
        <v>22.5</v>
      </c>
    </row>
    <row r="21" spans="1:24" ht="13.5">
      <c r="A21" s="14">
        <v>27</v>
      </c>
      <c r="B21" s="73">
        <v>16</v>
      </c>
      <c r="C21" s="69">
        <v>999.5</v>
      </c>
      <c r="D21" s="69">
        <v>1002.7</v>
      </c>
      <c r="E21" s="69">
        <v>21.5</v>
      </c>
      <c r="F21" s="69">
        <v>100</v>
      </c>
      <c r="G21" s="70" t="s">
        <v>135</v>
      </c>
      <c r="H21" s="69">
        <v>9.8</v>
      </c>
      <c r="I21" s="69">
        <v>0</v>
      </c>
      <c r="J21" s="69">
        <v>0.3</v>
      </c>
      <c r="K21" s="69">
        <v>0.53</v>
      </c>
      <c r="L21" s="69"/>
      <c r="M21" s="69"/>
      <c r="N21" s="65">
        <f t="shared" si="0"/>
        <v>21.5</v>
      </c>
      <c r="O21" s="65">
        <f t="shared" si="1"/>
        <v>0</v>
      </c>
      <c r="P21" s="66">
        <f t="shared" si="2"/>
        <v>21.5</v>
      </c>
      <c r="Q21" s="65">
        <f t="shared" si="3"/>
        <v>339.1569380165601</v>
      </c>
      <c r="R21" s="66">
        <f t="shared" si="4"/>
        <v>16.61206675893411</v>
      </c>
      <c r="S21" s="67">
        <f t="shared" si="10"/>
        <v>0.20000000000004547</v>
      </c>
      <c r="T21" s="67">
        <f t="shared" si="6"/>
        <v>1.8000000000000682</v>
      </c>
      <c r="U21" s="67">
        <f t="shared" si="7"/>
        <v>0.8000000000000114</v>
      </c>
      <c r="V21" s="67">
        <f t="shared" si="8"/>
        <v>0.8000000000000007</v>
      </c>
      <c r="W21" s="67">
        <f t="shared" si="9"/>
        <v>2.9124124041062487</v>
      </c>
      <c r="X21">
        <f t="shared" si="5"/>
        <v>337.5</v>
      </c>
    </row>
    <row r="22" spans="1:24" ht="13.5">
      <c r="A22" s="14">
        <v>27</v>
      </c>
      <c r="B22" s="73">
        <v>17</v>
      </c>
      <c r="C22" s="69">
        <v>1000.4</v>
      </c>
      <c r="D22" s="69">
        <v>1003.6</v>
      </c>
      <c r="E22" s="69">
        <v>21.4</v>
      </c>
      <c r="F22" s="69">
        <v>98</v>
      </c>
      <c r="G22" s="70" t="s">
        <v>135</v>
      </c>
      <c r="H22" s="69">
        <v>7.8</v>
      </c>
      <c r="I22" s="69" t="s">
        <v>132</v>
      </c>
      <c r="J22" s="69">
        <v>0.6</v>
      </c>
      <c r="K22" s="69">
        <v>0.46</v>
      </c>
      <c r="L22" s="69"/>
      <c r="M22" s="69"/>
      <c r="N22" s="65">
        <f t="shared" si="0"/>
        <v>21.070980209687207</v>
      </c>
      <c r="O22" s="65">
        <f t="shared" si="1"/>
        <v>0.3290197903127918</v>
      </c>
      <c r="P22" s="66">
        <f t="shared" si="2"/>
        <v>21.235490104843603</v>
      </c>
      <c r="Q22" s="65">
        <f t="shared" si="3"/>
        <v>337.7607611710867</v>
      </c>
      <c r="R22" s="66">
        <f t="shared" si="4"/>
        <v>16.14598089408887</v>
      </c>
      <c r="S22" s="67">
        <f t="shared" si="10"/>
        <v>1.3999999999999773</v>
      </c>
      <c r="T22" s="67">
        <f t="shared" si="6"/>
        <v>0.8999999999999773</v>
      </c>
      <c r="U22" s="67">
        <f t="shared" si="7"/>
        <v>-0.42901979031279325</v>
      </c>
      <c r="V22" s="67">
        <f t="shared" si="8"/>
        <v>-0.10000000000000142</v>
      </c>
      <c r="W22" s="67">
        <f t="shared" si="9"/>
        <v>-1.3961768454734056</v>
      </c>
      <c r="X22">
        <f t="shared" si="5"/>
        <v>337.5</v>
      </c>
    </row>
    <row r="23" spans="1:24" ht="13.5">
      <c r="A23" s="14">
        <v>27</v>
      </c>
      <c r="B23" s="73">
        <v>18</v>
      </c>
      <c r="C23" s="69">
        <v>1001.5</v>
      </c>
      <c r="D23" s="69">
        <v>1004.8</v>
      </c>
      <c r="E23" s="69">
        <v>20.9</v>
      </c>
      <c r="F23" s="69">
        <v>99</v>
      </c>
      <c r="G23" s="70" t="s">
        <v>142</v>
      </c>
      <c r="H23" s="69">
        <v>6.2</v>
      </c>
      <c r="I23" s="69" t="s">
        <v>132</v>
      </c>
      <c r="J23" s="69" t="s">
        <v>132</v>
      </c>
      <c r="K23" s="69">
        <v>0.02</v>
      </c>
      <c r="L23" s="69"/>
      <c r="M23" s="69"/>
      <c r="N23" s="65">
        <f t="shared" si="0"/>
        <v>20.736836252690807</v>
      </c>
      <c r="O23" s="65">
        <f t="shared" si="1"/>
        <v>0.16316374730919136</v>
      </c>
      <c r="P23" s="66">
        <f t="shared" si="2"/>
        <v>20.818418126345403</v>
      </c>
      <c r="Q23" s="65">
        <f t="shared" si="3"/>
        <v>336.06776352795</v>
      </c>
      <c r="R23" s="66">
        <f t="shared" si="4"/>
        <v>15.784949255395162</v>
      </c>
      <c r="S23" s="67">
        <f t="shared" si="10"/>
        <v>3.8999999999999773</v>
      </c>
      <c r="T23" s="67">
        <f t="shared" si="6"/>
        <v>1.1999999999999318</v>
      </c>
      <c r="U23" s="67">
        <f t="shared" si="7"/>
        <v>-0.33414395699639954</v>
      </c>
      <c r="V23" s="67">
        <f t="shared" si="8"/>
        <v>-0.5</v>
      </c>
      <c r="W23" s="67">
        <f t="shared" si="9"/>
        <v>-1.6929976431367209</v>
      </c>
      <c r="X23">
        <f t="shared" si="5"/>
        <v>292.5</v>
      </c>
    </row>
    <row r="24" spans="1:24" ht="13.5">
      <c r="A24" s="14">
        <v>27</v>
      </c>
      <c r="B24" s="73">
        <v>19</v>
      </c>
      <c r="C24" s="69">
        <v>1002.6</v>
      </c>
      <c r="D24" s="69">
        <v>1005.9</v>
      </c>
      <c r="E24" s="69">
        <v>20.8</v>
      </c>
      <c r="F24" s="69">
        <v>100</v>
      </c>
      <c r="G24" s="70" t="s">
        <v>139</v>
      </c>
      <c r="H24" s="69">
        <v>6.4</v>
      </c>
      <c r="I24" s="69" t="s">
        <v>132</v>
      </c>
      <c r="J24" s="69"/>
      <c r="K24" s="69"/>
      <c r="L24" s="69"/>
      <c r="M24" s="69"/>
      <c r="N24" s="65">
        <f t="shared" si="0"/>
        <v>20.80000000000001</v>
      </c>
      <c r="O24" s="65">
        <f t="shared" si="1"/>
        <v>0</v>
      </c>
      <c r="P24" s="66">
        <f t="shared" si="2"/>
        <v>20.800000000000004</v>
      </c>
      <c r="Q24" s="65">
        <f t="shared" si="3"/>
        <v>335.93643929136596</v>
      </c>
      <c r="R24" s="66">
        <f t="shared" si="4"/>
        <v>15.831406832185879</v>
      </c>
      <c r="S24" s="67">
        <f t="shared" si="10"/>
        <v>3.199999999999932</v>
      </c>
      <c r="T24" s="67">
        <f t="shared" si="6"/>
        <v>1.1000000000000227</v>
      </c>
      <c r="U24" s="67">
        <f t="shared" si="7"/>
        <v>0.06316374730920415</v>
      </c>
      <c r="V24" s="67">
        <f t="shared" si="8"/>
        <v>-0.09999999999999787</v>
      </c>
      <c r="W24" s="67">
        <f t="shared" si="9"/>
        <v>-0.13132423658402104</v>
      </c>
      <c r="X24">
        <f t="shared" si="5"/>
        <v>270</v>
      </c>
    </row>
    <row r="25" spans="1:24" ht="13.5">
      <c r="A25" s="14">
        <v>27</v>
      </c>
      <c r="B25" s="73">
        <v>20</v>
      </c>
      <c r="C25" s="69">
        <v>1003.6</v>
      </c>
      <c r="D25" s="69">
        <v>1006.9</v>
      </c>
      <c r="E25" s="69">
        <v>20.6</v>
      </c>
      <c r="F25" s="69">
        <v>99</v>
      </c>
      <c r="G25" s="70" t="s">
        <v>141</v>
      </c>
      <c r="H25" s="69">
        <v>4.1</v>
      </c>
      <c r="I25" s="69" t="s">
        <v>132</v>
      </c>
      <c r="J25" s="69"/>
      <c r="K25" s="69"/>
      <c r="L25" s="69"/>
      <c r="M25" s="69"/>
      <c r="N25" s="65">
        <f t="shared" si="0"/>
        <v>20.437206194332532</v>
      </c>
      <c r="O25" s="65">
        <f t="shared" si="1"/>
        <v>0.16279380566746937</v>
      </c>
      <c r="P25" s="66">
        <f t="shared" si="2"/>
        <v>20.518603097166267</v>
      </c>
      <c r="Q25" s="65">
        <f t="shared" si="3"/>
        <v>334.61713220570584</v>
      </c>
      <c r="R25" s="66">
        <f t="shared" si="4"/>
        <v>15.450029672277296</v>
      </c>
      <c r="S25" s="67">
        <f t="shared" si="10"/>
        <v>3.2999999999999545</v>
      </c>
      <c r="T25" s="67">
        <f t="shared" si="6"/>
        <v>1</v>
      </c>
      <c r="U25" s="67">
        <f t="shared" si="7"/>
        <v>-0.3627938056674793</v>
      </c>
      <c r="V25" s="67">
        <f t="shared" si="8"/>
        <v>-0.1999999999999993</v>
      </c>
      <c r="W25" s="67">
        <f t="shared" si="9"/>
        <v>-1.319307085660114</v>
      </c>
      <c r="X25">
        <f t="shared" si="5"/>
        <v>247.5</v>
      </c>
    </row>
    <row r="26" spans="1:24" ht="13.5">
      <c r="A26" s="14">
        <v>27</v>
      </c>
      <c r="B26" s="73">
        <v>21</v>
      </c>
      <c r="C26" s="69">
        <v>1004.4</v>
      </c>
      <c r="D26" s="69">
        <v>1007.7</v>
      </c>
      <c r="E26" s="69">
        <v>20.5</v>
      </c>
      <c r="F26" s="69">
        <v>99</v>
      </c>
      <c r="G26" s="70" t="s">
        <v>141</v>
      </c>
      <c r="H26" s="69">
        <v>5.4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20.337329414968053</v>
      </c>
      <c r="O26" s="65">
        <f t="shared" si="1"/>
        <v>0.16267058503194676</v>
      </c>
      <c r="P26" s="66">
        <f t="shared" si="2"/>
        <v>20.418664707484027</v>
      </c>
      <c r="Q26" s="65">
        <f t="shared" si="3"/>
        <v>334.124911507527</v>
      </c>
      <c r="R26" s="66">
        <f t="shared" si="4"/>
        <v>15.33833068521807</v>
      </c>
      <c r="S26" s="67">
        <f t="shared" si="10"/>
        <v>2.900000000000091</v>
      </c>
      <c r="T26" s="67">
        <f t="shared" si="6"/>
        <v>0.8000000000000682</v>
      </c>
      <c r="U26" s="67">
        <f t="shared" si="7"/>
        <v>-0.09987677936447881</v>
      </c>
      <c r="V26" s="67">
        <f t="shared" si="8"/>
        <v>-0.10000000000000142</v>
      </c>
      <c r="W26" s="67">
        <f t="shared" si="9"/>
        <v>-0.49222069817886904</v>
      </c>
      <c r="X26">
        <f t="shared" si="5"/>
        <v>247.5</v>
      </c>
    </row>
    <row r="27" spans="1:24" ht="13.5">
      <c r="A27" s="14">
        <v>27</v>
      </c>
      <c r="B27" s="73">
        <v>22</v>
      </c>
      <c r="C27" s="69">
        <v>1004.8</v>
      </c>
      <c r="D27" s="69">
        <v>1008.1</v>
      </c>
      <c r="E27" s="69">
        <v>20.8</v>
      </c>
      <c r="F27" s="69">
        <v>96</v>
      </c>
      <c r="G27" s="70" t="s">
        <v>134</v>
      </c>
      <c r="H27" s="69">
        <v>4.9</v>
      </c>
      <c r="I27" s="69" t="s">
        <v>132</v>
      </c>
      <c r="J27" s="69"/>
      <c r="K27" s="69"/>
      <c r="L27" s="69"/>
      <c r="M27" s="69"/>
      <c r="N27" s="65">
        <f t="shared" si="0"/>
        <v>20.139018424861206</v>
      </c>
      <c r="O27" s="65">
        <f t="shared" si="1"/>
        <v>0.6609815751387949</v>
      </c>
      <c r="P27" s="66">
        <f t="shared" si="2"/>
        <v>20.4695092124306</v>
      </c>
      <c r="Q27" s="65">
        <f t="shared" si="3"/>
        <v>333.985012847355</v>
      </c>
      <c r="R27" s="66">
        <f t="shared" si="4"/>
        <v>15.137140482114287</v>
      </c>
      <c r="S27" s="67">
        <f t="shared" si="10"/>
        <v>2.2000000000000455</v>
      </c>
      <c r="T27" s="68">
        <f t="shared" si="6"/>
        <v>0.39999999999997726</v>
      </c>
      <c r="U27" s="68">
        <f t="shared" si="7"/>
        <v>-0.19831099010684738</v>
      </c>
      <c r="V27" s="68">
        <f t="shared" si="8"/>
        <v>0.3000000000000007</v>
      </c>
      <c r="W27" s="67">
        <f t="shared" si="9"/>
        <v>-0.13989866017197983</v>
      </c>
      <c r="X27">
        <f t="shared" si="5"/>
        <v>225</v>
      </c>
    </row>
    <row r="28" spans="1:24" ht="13.5">
      <c r="A28" s="14">
        <v>27</v>
      </c>
      <c r="B28" s="73">
        <v>23</v>
      </c>
      <c r="C28" s="69">
        <v>1004.7</v>
      </c>
      <c r="D28" s="69">
        <v>1008</v>
      </c>
      <c r="E28" s="69">
        <v>20.8</v>
      </c>
      <c r="F28" s="69">
        <v>99</v>
      </c>
      <c r="G28" s="70" t="s">
        <v>134</v>
      </c>
      <c r="H28" s="69">
        <v>3.4</v>
      </c>
      <c r="I28" s="69" t="s">
        <v>132</v>
      </c>
      <c r="J28" s="69"/>
      <c r="K28" s="69"/>
      <c r="L28" s="69"/>
      <c r="M28" s="69"/>
      <c r="N28" s="65">
        <f t="shared" si="0"/>
        <v>20.636959613193824</v>
      </c>
      <c r="O28" s="65">
        <f t="shared" si="1"/>
        <v>0.16304038680617694</v>
      </c>
      <c r="P28" s="66">
        <f t="shared" si="2"/>
        <v>20.71847980659691</v>
      </c>
      <c r="Q28" s="65">
        <f t="shared" si="3"/>
        <v>335.2289733405108</v>
      </c>
      <c r="R28" s="66">
        <f t="shared" si="4"/>
        <v>15.632573273973126</v>
      </c>
      <c r="S28" s="67">
        <f t="shared" si="10"/>
        <v>1.1000000000000227</v>
      </c>
      <c r="T28" s="68">
        <f t="shared" si="6"/>
        <v>-0.10000000000002274</v>
      </c>
      <c r="U28" s="68">
        <f t="shared" si="7"/>
        <v>0.4979411883326179</v>
      </c>
      <c r="V28" s="68">
        <f t="shared" si="8"/>
        <v>0</v>
      </c>
      <c r="W28" s="67">
        <f t="shared" si="9"/>
        <v>1.2439604931557824</v>
      </c>
      <c r="X28">
        <f t="shared" si="5"/>
        <v>225</v>
      </c>
    </row>
    <row r="29" spans="1:24" ht="13.5">
      <c r="A29" s="14">
        <v>27</v>
      </c>
      <c r="B29" s="73">
        <v>24</v>
      </c>
      <c r="C29" s="69">
        <v>1005</v>
      </c>
      <c r="D29" s="69">
        <v>1008.3</v>
      </c>
      <c r="E29" s="69">
        <v>21</v>
      </c>
      <c r="F29" s="69">
        <v>99</v>
      </c>
      <c r="G29" s="70" t="s">
        <v>134</v>
      </c>
      <c r="H29" s="69">
        <v>3.5</v>
      </c>
      <c r="I29" s="69" t="s">
        <v>132</v>
      </c>
      <c r="J29" s="69"/>
      <c r="K29" s="69"/>
      <c r="L29" s="69"/>
      <c r="M29" s="69"/>
      <c r="N29" s="65">
        <f t="shared" si="0"/>
        <v>20.836712845565444</v>
      </c>
      <c r="O29" s="65">
        <f t="shared" si="1"/>
        <v>0.16328715443455621</v>
      </c>
      <c r="P29" s="66">
        <f t="shared" si="2"/>
        <v>20.918356422782722</v>
      </c>
      <c r="Q29" s="65">
        <f t="shared" si="3"/>
        <v>335.959948566712</v>
      </c>
      <c r="R29" s="66">
        <f t="shared" si="4"/>
        <v>15.829980875326413</v>
      </c>
      <c r="S29" s="67">
        <f t="shared" si="10"/>
        <v>0.599999999999909</v>
      </c>
      <c r="T29" s="68">
        <f t="shared" si="6"/>
        <v>0.2999999999999545</v>
      </c>
      <c r="U29" s="68">
        <f t="shared" si="7"/>
        <v>0.19975323237162002</v>
      </c>
      <c r="V29" s="68">
        <f t="shared" si="8"/>
        <v>0.1999999999999993</v>
      </c>
      <c r="W29" s="67">
        <f t="shared" si="9"/>
        <v>0.7309752262012239</v>
      </c>
      <c r="X29">
        <f t="shared" si="5"/>
        <v>225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N62"/>
  <sheetViews>
    <sheetView workbookViewId="0" topLeftCell="A1">
      <selection activeCell="C16" sqref="C16"/>
    </sheetView>
  </sheetViews>
  <sheetFormatPr defaultColWidth="9.00390625" defaultRowHeight="13.5"/>
  <cols>
    <col min="1" max="1" width="15.125" style="0" bestFit="1" customWidth="1"/>
    <col min="2" max="2" width="5.625" style="0" bestFit="1" customWidth="1"/>
    <col min="3" max="3" width="8.875" style="0" bestFit="1" customWidth="1"/>
    <col min="4" max="4" width="8.25390625" style="0" bestFit="1" customWidth="1"/>
    <col min="5" max="5" width="3.75390625" style="0" customWidth="1"/>
    <col min="6" max="6" width="27.25390625" style="0" bestFit="1" customWidth="1"/>
    <col min="7" max="7" width="7.125" style="0" customWidth="1"/>
    <col min="8" max="8" width="10.375" style="0" customWidth="1"/>
    <col min="9" max="9" width="9.875" style="0" bestFit="1" customWidth="1"/>
    <col min="10" max="10" width="5.125" style="0" bestFit="1" customWidth="1"/>
    <col min="11" max="11" width="3.125" style="0" customWidth="1"/>
    <col min="13" max="13" width="6.50390625" style="0" bestFit="1" customWidth="1"/>
    <col min="14" max="14" width="10.50390625" style="0" bestFit="1" customWidth="1"/>
  </cols>
  <sheetData>
    <row r="1" spans="1:11" ht="14.25" thickBot="1">
      <c r="A1" s="5"/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3.5">
      <c r="A2" s="5" t="s">
        <v>0</v>
      </c>
      <c r="B2" s="6"/>
      <c r="C2" s="6"/>
      <c r="D2" s="7"/>
      <c r="E2" s="26"/>
      <c r="F2" s="14"/>
      <c r="G2" s="14"/>
      <c r="H2" s="15" t="s">
        <v>58</v>
      </c>
      <c r="I2" s="15" t="s">
        <v>57</v>
      </c>
      <c r="J2" s="15"/>
      <c r="K2" s="27"/>
    </row>
    <row r="3" spans="1:11" ht="13.5">
      <c r="A3" s="8" t="s">
        <v>1</v>
      </c>
      <c r="B3" s="1" t="s">
        <v>2</v>
      </c>
      <c r="C3" s="2">
        <v>855.8</v>
      </c>
      <c r="D3" s="9" t="s">
        <v>3</v>
      </c>
      <c r="E3" s="26"/>
      <c r="F3" s="14" t="s">
        <v>4</v>
      </c>
      <c r="G3" s="14" t="s">
        <v>5</v>
      </c>
      <c r="H3" s="16">
        <f>4303.4/(19.482-LN(EXP(19.482-4303.4/(C4+243.5))*C5/100))-243.5</f>
        <v>-0.35608267351381073</v>
      </c>
      <c r="I3" s="17">
        <f>Td(C4,C5)</f>
        <v>-0.35608267351381073</v>
      </c>
      <c r="J3" s="15" t="s">
        <v>6</v>
      </c>
      <c r="K3" s="27"/>
    </row>
    <row r="4" spans="1:12" ht="13.5">
      <c r="A4" s="8" t="s">
        <v>7</v>
      </c>
      <c r="B4" s="1" t="s">
        <v>8</v>
      </c>
      <c r="C4" s="3">
        <v>1.1</v>
      </c>
      <c r="D4" s="10" t="s">
        <v>6</v>
      </c>
      <c r="E4" s="28"/>
      <c r="F4" s="14" t="s">
        <v>9</v>
      </c>
      <c r="G4" s="18" t="s">
        <v>10</v>
      </c>
      <c r="H4" s="19">
        <f>C4-H3</f>
        <v>1.4560826735138108</v>
      </c>
      <c r="I4" s="17"/>
      <c r="J4" s="15" t="s">
        <v>11</v>
      </c>
      <c r="K4" s="27"/>
      <c r="L4">
        <f>(C4+I3)/2</f>
        <v>0.3719586632430947</v>
      </c>
    </row>
    <row r="5" spans="1:12" ht="13.5">
      <c r="A5" s="8" t="s">
        <v>12</v>
      </c>
      <c r="B5" s="1" t="s">
        <v>13</v>
      </c>
      <c r="C5" s="4">
        <v>90</v>
      </c>
      <c r="D5" s="9" t="s">
        <v>14</v>
      </c>
      <c r="E5" s="26"/>
      <c r="F5" s="14" t="s">
        <v>15</v>
      </c>
      <c r="G5" s="14" t="s">
        <v>16</v>
      </c>
      <c r="H5" s="16">
        <f>(C4+273.2)*(1000/C3)^(C12/C13)</f>
        <v>286.7857944393333</v>
      </c>
      <c r="I5" s="17">
        <f>PT(C4,C3)</f>
        <v>286.7857944393333</v>
      </c>
      <c r="J5" s="15" t="s">
        <v>17</v>
      </c>
      <c r="K5" s="27"/>
      <c r="L5" s="46">
        <f>H5-273.2</f>
        <v>13.585794439333313</v>
      </c>
    </row>
    <row r="6" spans="1:14" ht="14.25" thickBot="1">
      <c r="A6" s="11"/>
      <c r="B6" s="12"/>
      <c r="C6" s="12"/>
      <c r="D6" s="13"/>
      <c r="E6" s="26"/>
      <c r="F6" s="14" t="s">
        <v>18</v>
      </c>
      <c r="G6" s="14" t="s">
        <v>19</v>
      </c>
      <c r="H6" s="19">
        <f>120*(C4-H3)</f>
        <v>174.7299208216573</v>
      </c>
      <c r="I6" s="17">
        <f>LCL(C4,C5)</f>
        <v>174.7299208216573</v>
      </c>
      <c r="J6" s="15" t="s">
        <v>20</v>
      </c>
      <c r="K6" s="27"/>
      <c r="N6" s="46"/>
    </row>
    <row r="7" spans="1:13" ht="13.5">
      <c r="A7" s="29"/>
      <c r="B7" s="26"/>
      <c r="C7" s="26"/>
      <c r="D7" s="26"/>
      <c r="E7" s="26"/>
      <c r="F7" s="14" t="s">
        <v>21</v>
      </c>
      <c r="G7" s="14" t="s">
        <v>22</v>
      </c>
      <c r="H7" s="17">
        <f>1013.3*10^(-(H6+18410*LOG(1013.3/C3))/18410)</f>
        <v>837.300304155744</v>
      </c>
      <c r="I7" s="17">
        <f>LCLp(C4,C5,C3)</f>
        <v>837.300304155744</v>
      </c>
      <c r="J7" s="15" t="s">
        <v>23</v>
      </c>
      <c r="K7" s="27"/>
      <c r="M7" s="48"/>
    </row>
    <row r="8" spans="1:11" ht="13.5">
      <c r="A8" s="29"/>
      <c r="B8" s="26"/>
      <c r="C8" s="26"/>
      <c r="D8" s="26"/>
      <c r="E8" s="26"/>
      <c r="F8" s="14" t="s">
        <v>24</v>
      </c>
      <c r="G8" s="14" t="s">
        <v>25</v>
      </c>
      <c r="H8" s="19">
        <f>C4-H6/1000*9.8</f>
        <v>-0.6123532240522414</v>
      </c>
      <c r="I8" s="17">
        <f>LCLt(C4,C5)</f>
        <v>-0.6123532240522414</v>
      </c>
      <c r="J8" s="15" t="s">
        <v>26</v>
      </c>
      <c r="K8" s="27"/>
    </row>
    <row r="9" spans="1:11" ht="13.5">
      <c r="A9" s="29"/>
      <c r="B9" s="26"/>
      <c r="C9" s="26"/>
      <c r="D9" s="26"/>
      <c r="E9" s="26"/>
      <c r="F9" s="14" t="s">
        <v>27</v>
      </c>
      <c r="G9" s="14" t="s">
        <v>28</v>
      </c>
      <c r="H9" s="17">
        <f>EXP((C11/C14)*H8/(273.2*(H8+273.2))+LN(6.11))</f>
        <v>5.843529922086026</v>
      </c>
      <c r="I9" s="17">
        <f>LCLe(C4,C5)</f>
        <v>5.843529922086026</v>
      </c>
      <c r="J9" s="15" t="s">
        <v>23</v>
      </c>
      <c r="K9" s="27"/>
    </row>
    <row r="10" spans="1:13" ht="13.5">
      <c r="A10" s="30" t="s">
        <v>29</v>
      </c>
      <c r="B10" s="14"/>
      <c r="C10" s="14"/>
      <c r="D10" s="14"/>
      <c r="E10" s="26"/>
      <c r="F10" s="14" t="s">
        <v>30</v>
      </c>
      <c r="G10" s="14" t="s">
        <v>31</v>
      </c>
      <c r="H10" s="17">
        <f>0.622*H9/(H7-H9)*1000</f>
        <v>4.371454685527745</v>
      </c>
      <c r="I10" s="17">
        <f>LCLq(C4,C5,C3)</f>
        <v>4.371454685527745</v>
      </c>
      <c r="J10" s="15" t="s">
        <v>32</v>
      </c>
      <c r="K10" s="27"/>
      <c r="M10" s="49"/>
    </row>
    <row r="11" spans="1:11" ht="13.5">
      <c r="A11" s="30" t="s">
        <v>33</v>
      </c>
      <c r="B11" s="14" t="s">
        <v>34</v>
      </c>
      <c r="C11" s="20">
        <v>2500000</v>
      </c>
      <c r="D11" s="14" t="s">
        <v>35</v>
      </c>
      <c r="E11" s="26"/>
      <c r="F11" s="14" t="s">
        <v>36</v>
      </c>
      <c r="G11" s="14" t="s">
        <v>37</v>
      </c>
      <c r="H11" s="17">
        <f>EXP((C11/C14)*C4/(273.2*(C4+273.2))+LN(6.11))</f>
        <v>6.616251751725223</v>
      </c>
      <c r="I11" s="17"/>
      <c r="J11" s="15" t="s">
        <v>38</v>
      </c>
      <c r="K11" s="27"/>
    </row>
    <row r="12" spans="1:11" ht="13.5">
      <c r="A12" s="30" t="s">
        <v>39</v>
      </c>
      <c r="B12" s="14" t="s">
        <v>40</v>
      </c>
      <c r="C12" s="14">
        <v>287</v>
      </c>
      <c r="D12" s="14" t="s">
        <v>41</v>
      </c>
      <c r="E12" s="26"/>
      <c r="F12" s="14" t="s">
        <v>42</v>
      </c>
      <c r="G12" s="14" t="s">
        <v>43</v>
      </c>
      <c r="H12" s="17">
        <f>EXP((C11/C14)*H3/(273.2*(H3+273.2))+LN(6.11))</f>
        <v>5.953748943734023</v>
      </c>
      <c r="I12" s="17">
        <f>e(C4,C5)</f>
        <v>5.953748943734023</v>
      </c>
      <c r="J12" s="15" t="s">
        <v>44</v>
      </c>
      <c r="K12" s="27"/>
    </row>
    <row r="13" spans="1:11" ht="13.5">
      <c r="A13" s="30" t="s">
        <v>45</v>
      </c>
      <c r="B13" s="14" t="s">
        <v>46</v>
      </c>
      <c r="C13" s="14">
        <v>1004</v>
      </c>
      <c r="D13" s="14" t="s">
        <v>47</v>
      </c>
      <c r="E13" s="26"/>
      <c r="F13" s="14" t="s">
        <v>48</v>
      </c>
      <c r="G13" s="14" t="s">
        <v>49</v>
      </c>
      <c r="H13" s="17">
        <f>0.622*H12/(C3-H12)*1000</f>
        <v>4.357531539851886</v>
      </c>
      <c r="I13" s="17">
        <f>q(C4,C5,C3)</f>
        <v>4.357531539851886</v>
      </c>
      <c r="J13" s="15" t="s">
        <v>50</v>
      </c>
      <c r="K13" s="27"/>
    </row>
    <row r="14" spans="1:11" ht="13.5">
      <c r="A14" s="30" t="s">
        <v>51</v>
      </c>
      <c r="B14" s="14" t="s">
        <v>52</v>
      </c>
      <c r="C14" s="14">
        <v>461</v>
      </c>
      <c r="D14" s="14" t="s">
        <v>53</v>
      </c>
      <c r="E14" s="26"/>
      <c r="F14" s="21" t="s">
        <v>54</v>
      </c>
      <c r="G14" s="21" t="s">
        <v>55</v>
      </c>
      <c r="H14" s="22">
        <f>H5*EXP(C11/C13*H10/1000/(H8+273.2))</f>
        <v>298.4695865458656</v>
      </c>
      <c r="I14" s="24">
        <f>EPT(C4,C5,C3)</f>
        <v>298.4695865458656</v>
      </c>
      <c r="J14" s="23" t="s">
        <v>56</v>
      </c>
      <c r="K14" s="27"/>
    </row>
    <row r="15" spans="1:11" ht="13.5">
      <c r="A15" s="29"/>
      <c r="B15" s="26"/>
      <c r="C15" s="26"/>
      <c r="D15" s="26"/>
      <c r="E15" s="26"/>
      <c r="F15" s="1"/>
      <c r="G15" s="1"/>
      <c r="H15" s="37"/>
      <c r="I15" s="39"/>
      <c r="J15" s="38"/>
      <c r="K15" s="27"/>
    </row>
    <row r="16" spans="1:11" ht="13.5">
      <c r="A16" s="29"/>
      <c r="B16" s="26"/>
      <c r="C16" s="26"/>
      <c r="D16" s="26"/>
      <c r="E16" s="26"/>
      <c r="F16" s="21" t="s">
        <v>81</v>
      </c>
      <c r="G16" s="21" t="s">
        <v>88</v>
      </c>
      <c r="H16" s="22">
        <f>0.81*C4+0.01*C5*(0.99*C4-14.3)+46.3</f>
        <v>35.3011</v>
      </c>
      <c r="I16" s="40">
        <f>fukai(C4,C5)</f>
        <v>35.3011</v>
      </c>
      <c r="J16" s="23"/>
      <c r="K16" s="27"/>
    </row>
    <row r="17" spans="1:11" ht="13.5">
      <c r="A17" s="29"/>
      <c r="B17" s="26"/>
      <c r="C17" s="26"/>
      <c r="D17" s="26"/>
      <c r="E17" s="26"/>
      <c r="F17" s="21" t="s">
        <v>103</v>
      </c>
      <c r="G17" s="21"/>
      <c r="H17" s="22">
        <f>1.293/(1+0.00367*C4)*C3/1013*(1-0.378*H12/C3)</f>
        <v>1.0850957580484053</v>
      </c>
      <c r="I17" s="40"/>
      <c r="J17" s="23"/>
      <c r="K17" s="27"/>
    </row>
    <row r="18" spans="1:11" ht="13.5">
      <c r="A18" s="29"/>
      <c r="B18" s="26"/>
      <c r="C18" s="26"/>
      <c r="D18" s="26"/>
      <c r="E18" s="26"/>
      <c r="F18" s="21" t="s">
        <v>104</v>
      </c>
      <c r="G18" s="21"/>
      <c r="H18" s="22">
        <f>1.293/(1+0.00367*(H5-273.2))*(1-0.378*H12/C3)</f>
        <v>1.228354192962385</v>
      </c>
      <c r="I18" s="40"/>
      <c r="J18" s="23"/>
      <c r="K18" s="27"/>
    </row>
    <row r="19" spans="1:11" ht="13.5">
      <c r="A19" s="29"/>
      <c r="B19" s="26"/>
      <c r="C19" s="26"/>
      <c r="D19" s="26"/>
      <c r="E19" s="26"/>
      <c r="F19" s="21"/>
      <c r="G19" s="21"/>
      <c r="H19" s="22"/>
      <c r="I19" s="40"/>
      <c r="J19" s="23"/>
      <c r="K19" s="27"/>
    </row>
    <row r="20" spans="1:11" ht="13.5">
      <c r="A20" s="29"/>
      <c r="B20" s="26"/>
      <c r="C20" s="26"/>
      <c r="D20" s="26"/>
      <c r="E20" s="26"/>
      <c r="F20" s="1"/>
      <c r="G20" s="1"/>
      <c r="H20" s="37"/>
      <c r="I20" s="39"/>
      <c r="J20" s="38"/>
      <c r="K20" s="27"/>
    </row>
    <row r="21" spans="1:11" ht="14.25" thickBo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3"/>
    </row>
    <row r="22" spans="1:11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3.5">
      <c r="A23" s="26"/>
      <c r="B23" s="26"/>
      <c r="C23" s="26"/>
      <c r="D23" s="26"/>
      <c r="E23" s="26"/>
      <c r="F23" s="26" t="s">
        <v>82</v>
      </c>
      <c r="G23" s="26"/>
      <c r="H23" s="26"/>
      <c r="I23" s="26"/>
      <c r="J23" s="26"/>
      <c r="K23" s="26"/>
    </row>
    <row r="24" spans="1:11" ht="13.5">
      <c r="A24" s="26"/>
      <c r="B24" s="26"/>
      <c r="C24" s="26"/>
      <c r="D24" s="26"/>
      <c r="E24" s="26"/>
      <c r="F24" s="26" t="s">
        <v>83</v>
      </c>
      <c r="G24" s="26"/>
      <c r="H24" s="26"/>
      <c r="I24" s="26"/>
      <c r="J24" s="26"/>
      <c r="K24" s="26"/>
    </row>
    <row r="25" spans="1:11" ht="13.5">
      <c r="A25" s="26"/>
      <c r="B25" s="26"/>
      <c r="C25" s="26"/>
      <c r="D25" s="26"/>
      <c r="E25" s="26"/>
      <c r="F25" s="26" t="s">
        <v>84</v>
      </c>
      <c r="G25" s="26"/>
      <c r="H25" s="26"/>
      <c r="I25" s="26"/>
      <c r="J25" s="26"/>
      <c r="K25" s="26"/>
    </row>
    <row r="26" spans="1:11" ht="13.5">
      <c r="A26" s="26"/>
      <c r="B26" s="26"/>
      <c r="C26" s="26"/>
      <c r="D26" s="26"/>
      <c r="E26" s="26"/>
      <c r="F26" s="26" t="s">
        <v>85</v>
      </c>
      <c r="G26" s="26"/>
      <c r="H26" s="26"/>
      <c r="I26" s="26"/>
      <c r="J26" s="26"/>
      <c r="K26" s="26"/>
    </row>
    <row r="27" spans="1:11" ht="13.5">
      <c r="A27" s="26"/>
      <c r="B27" s="26"/>
      <c r="C27" s="26"/>
      <c r="D27" s="26"/>
      <c r="E27" s="26"/>
      <c r="F27" s="26" t="s">
        <v>86</v>
      </c>
      <c r="G27" s="26"/>
      <c r="H27" s="26"/>
      <c r="I27" s="26"/>
      <c r="J27" s="26"/>
      <c r="K27" s="26"/>
    </row>
    <row r="28" spans="1:11" ht="13.5">
      <c r="A28" s="26"/>
      <c r="B28" s="26"/>
      <c r="C28" s="26"/>
      <c r="D28" s="26"/>
      <c r="E28" s="26"/>
      <c r="F28" s="26" t="s">
        <v>87</v>
      </c>
      <c r="G28" s="26"/>
      <c r="H28" s="26"/>
      <c r="I28" s="26"/>
      <c r="J28" s="26"/>
      <c r="K28" s="26"/>
    </row>
    <row r="29" spans="1:11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ht="14.25" thickBot="1"/>
    <row r="32" spans="1:11" ht="14.2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13.5">
      <c r="A33" s="5" t="s">
        <v>64</v>
      </c>
      <c r="B33" s="6"/>
      <c r="C33" s="6"/>
      <c r="D33" s="7"/>
      <c r="E33" s="26"/>
      <c r="F33" s="34"/>
      <c r="G33" s="26"/>
      <c r="H33" s="26"/>
      <c r="I33" s="26"/>
      <c r="J33" s="26"/>
      <c r="K33" s="27"/>
    </row>
    <row r="34" spans="1:11" ht="13.5">
      <c r="A34" s="8" t="s">
        <v>59</v>
      </c>
      <c r="B34" s="1" t="s">
        <v>62</v>
      </c>
      <c r="C34" s="25">
        <v>-6</v>
      </c>
      <c r="D34" s="10" t="s">
        <v>6</v>
      </c>
      <c r="E34" s="26"/>
      <c r="F34" s="14" t="s">
        <v>65</v>
      </c>
      <c r="G34" s="14" t="s">
        <v>66</v>
      </c>
      <c r="H34" s="14"/>
      <c r="I34" s="35">
        <f>SSI5085(C34,C35,C36)</f>
        <v>3.8999999999998103</v>
      </c>
      <c r="J34" s="14"/>
      <c r="K34" s="27"/>
    </row>
    <row r="35" spans="1:11" ht="13.5">
      <c r="A35" s="8" t="s">
        <v>60</v>
      </c>
      <c r="B35" s="1" t="s">
        <v>63</v>
      </c>
      <c r="C35" s="3">
        <v>18</v>
      </c>
      <c r="D35" s="10" t="s">
        <v>6</v>
      </c>
      <c r="E35" s="26"/>
      <c r="F35" s="26"/>
      <c r="G35" s="26"/>
      <c r="H35" s="26"/>
      <c r="I35" s="26"/>
      <c r="J35" s="26"/>
      <c r="K35" s="27"/>
    </row>
    <row r="36" spans="1:11" ht="13.5">
      <c r="A36" s="8" t="s">
        <v>61</v>
      </c>
      <c r="B36" s="1" t="s">
        <v>13</v>
      </c>
      <c r="C36" s="4">
        <v>60</v>
      </c>
      <c r="D36" s="9" t="s">
        <v>14</v>
      </c>
      <c r="E36" s="26"/>
      <c r="F36" s="26"/>
      <c r="G36" s="26"/>
      <c r="H36" s="26"/>
      <c r="I36" s="26"/>
      <c r="J36" s="26"/>
      <c r="K36" s="27"/>
    </row>
    <row r="37" spans="1:11" ht="14.25" thickBot="1">
      <c r="A37" s="11"/>
      <c r="B37" s="12"/>
      <c r="C37" s="12"/>
      <c r="D37" s="13"/>
      <c r="E37" s="26"/>
      <c r="F37" s="26"/>
      <c r="G37" s="26"/>
      <c r="H37" s="26"/>
      <c r="I37" s="26"/>
      <c r="J37" s="26"/>
      <c r="K37" s="27"/>
    </row>
    <row r="38" spans="1:11" ht="14.25" thickBot="1">
      <c r="A38" s="29"/>
      <c r="B38" s="26"/>
      <c r="C38" s="26"/>
      <c r="D38" s="26"/>
      <c r="E38" s="26"/>
      <c r="F38" s="26"/>
      <c r="G38" s="26"/>
      <c r="H38" s="26"/>
      <c r="I38" s="26"/>
      <c r="J38" s="26"/>
      <c r="K38" s="27"/>
    </row>
    <row r="39" spans="1:11" ht="13.5">
      <c r="A39" s="5" t="s">
        <v>64</v>
      </c>
      <c r="B39" s="6"/>
      <c r="C39" s="6"/>
      <c r="D39" s="7"/>
      <c r="E39" s="26"/>
      <c r="F39" s="26"/>
      <c r="G39" s="26"/>
      <c r="H39" s="26"/>
      <c r="I39" s="26"/>
      <c r="J39" s="26"/>
      <c r="K39" s="27"/>
    </row>
    <row r="40" spans="1:11" ht="13.5">
      <c r="A40" s="8" t="s">
        <v>67</v>
      </c>
      <c r="B40" s="1" t="s">
        <v>70</v>
      </c>
      <c r="C40" s="25">
        <v>2</v>
      </c>
      <c r="D40" s="10" t="s">
        <v>6</v>
      </c>
      <c r="E40" s="26"/>
      <c r="F40" s="14" t="s">
        <v>65</v>
      </c>
      <c r="G40" s="14" t="s">
        <v>72</v>
      </c>
      <c r="H40" s="14"/>
      <c r="I40" s="35">
        <f>SSI7092(C40,C41,C42)</f>
        <v>10.699999999999928</v>
      </c>
      <c r="J40" s="14"/>
      <c r="K40" s="27"/>
    </row>
    <row r="41" spans="1:11" ht="13.5">
      <c r="A41" s="8" t="s">
        <v>68</v>
      </c>
      <c r="B41" s="1" t="s">
        <v>71</v>
      </c>
      <c r="C41" s="3">
        <v>6</v>
      </c>
      <c r="D41" s="10" t="s">
        <v>6</v>
      </c>
      <c r="E41" s="26"/>
      <c r="F41" s="26"/>
      <c r="G41" s="26"/>
      <c r="H41" s="26"/>
      <c r="I41" s="26"/>
      <c r="J41" s="26"/>
      <c r="K41" s="27"/>
    </row>
    <row r="42" spans="1:11" ht="13.5">
      <c r="A42" s="8" t="s">
        <v>69</v>
      </c>
      <c r="B42" s="1" t="s">
        <v>13</v>
      </c>
      <c r="C42" s="4">
        <v>91</v>
      </c>
      <c r="D42" s="9" t="s">
        <v>14</v>
      </c>
      <c r="E42" s="26"/>
      <c r="F42" s="26"/>
      <c r="G42" s="26"/>
      <c r="H42" s="26"/>
      <c r="I42" s="26"/>
      <c r="J42" s="26"/>
      <c r="K42" s="27"/>
    </row>
    <row r="43" spans="1:11" ht="14.25" thickBot="1">
      <c r="A43" s="11"/>
      <c r="B43" s="12"/>
      <c r="C43" s="12"/>
      <c r="D43" s="13"/>
      <c r="E43" s="26"/>
      <c r="F43" s="26"/>
      <c r="G43" s="26"/>
      <c r="H43" s="26"/>
      <c r="I43" s="26"/>
      <c r="J43" s="26"/>
      <c r="K43" s="27"/>
    </row>
    <row r="44" spans="1:11" ht="14.25" thickBo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3"/>
    </row>
    <row r="46" ht="14.25" thickBot="1"/>
    <row r="47" spans="1:10" ht="13.5">
      <c r="A47" s="5" t="s">
        <v>89</v>
      </c>
      <c r="B47" s="6"/>
      <c r="C47" s="6"/>
      <c r="D47" s="6"/>
      <c r="E47" s="6"/>
      <c r="F47" s="6"/>
      <c r="G47" s="6"/>
      <c r="H47" s="6"/>
      <c r="I47" s="6"/>
      <c r="J47" s="7"/>
    </row>
    <row r="48" spans="1:14" ht="13.5">
      <c r="A48" s="29" t="s">
        <v>90</v>
      </c>
      <c r="B48" s="26" t="s">
        <v>91</v>
      </c>
      <c r="C48" s="41">
        <v>938.5</v>
      </c>
      <c r="D48" s="26" t="s">
        <v>75</v>
      </c>
      <c r="E48" s="26"/>
      <c r="F48" s="26" t="s">
        <v>96</v>
      </c>
      <c r="G48" s="26" t="s">
        <v>97</v>
      </c>
      <c r="H48" s="26"/>
      <c r="I48" s="45">
        <f>(C49+273.2)*(1+0.61*q(C49,C50,C48)/1000)</f>
        <v>286.96021756869396</v>
      </c>
      <c r="J48" s="27" t="s">
        <v>98</v>
      </c>
      <c r="L48" t="s">
        <v>105</v>
      </c>
      <c r="M48">
        <v>139.9</v>
      </c>
      <c r="N48" t="s">
        <v>95</v>
      </c>
    </row>
    <row r="49" spans="1:12" ht="13.5">
      <c r="A49" s="29" t="s">
        <v>7</v>
      </c>
      <c r="B49" s="26" t="s">
        <v>94</v>
      </c>
      <c r="C49" s="42">
        <v>12.3</v>
      </c>
      <c r="D49" s="26" t="s">
        <v>74</v>
      </c>
      <c r="E49" s="26"/>
      <c r="F49" s="26" t="s">
        <v>99</v>
      </c>
      <c r="G49" s="26" t="s">
        <v>94</v>
      </c>
      <c r="H49" s="26"/>
      <c r="I49" s="26">
        <f>I48+0.005*C51/2</f>
        <v>288.48521756869394</v>
      </c>
      <c r="J49" s="27" t="s">
        <v>100</v>
      </c>
      <c r="L49" s="47"/>
    </row>
    <row r="50" spans="1:10" ht="13.5">
      <c r="A50" s="29" t="s">
        <v>12</v>
      </c>
      <c r="B50" s="1" t="s">
        <v>13</v>
      </c>
      <c r="C50" s="43">
        <v>87</v>
      </c>
      <c r="D50" s="44" t="s">
        <v>14</v>
      </c>
      <c r="E50" s="26"/>
      <c r="F50" s="26" t="s">
        <v>101</v>
      </c>
      <c r="G50" s="26" t="s">
        <v>75</v>
      </c>
      <c r="H50" s="26"/>
      <c r="I50" s="26">
        <f>C48*EXP(9.80665*(C51-0)/(C12*I49))</f>
        <v>1008.8174210225886</v>
      </c>
      <c r="J50" s="27" t="s">
        <v>102</v>
      </c>
    </row>
    <row r="51" spans="1:10" ht="13.5">
      <c r="A51" s="29" t="s">
        <v>92</v>
      </c>
      <c r="B51" s="26" t="s">
        <v>93</v>
      </c>
      <c r="C51" s="43">
        <v>610</v>
      </c>
      <c r="D51" s="26" t="s">
        <v>95</v>
      </c>
      <c r="E51" s="26"/>
      <c r="F51" s="26"/>
      <c r="G51" s="26"/>
      <c r="H51" s="26"/>
      <c r="I51" s="26"/>
      <c r="J51" s="27"/>
    </row>
    <row r="52" spans="1:10" ht="14.25" thickBot="1">
      <c r="A52" s="31"/>
      <c r="B52" s="32"/>
      <c r="C52" s="32"/>
      <c r="D52" s="32"/>
      <c r="E52" s="32"/>
      <c r="F52" s="32"/>
      <c r="G52" s="32"/>
      <c r="H52" s="32"/>
      <c r="I52" s="32"/>
      <c r="J52" s="33"/>
    </row>
    <row r="59" ht="13.5">
      <c r="A59" t="s">
        <v>73</v>
      </c>
    </row>
    <row r="60" spans="1:10" ht="13.5">
      <c r="A60" t="s">
        <v>7</v>
      </c>
      <c r="C60">
        <v>8</v>
      </c>
      <c r="D60" t="s">
        <v>74</v>
      </c>
      <c r="F60" s="14" t="s">
        <v>36</v>
      </c>
      <c r="G60" s="14" t="s">
        <v>37</v>
      </c>
      <c r="H60" s="17">
        <f>EXP((C11/C14)*C60/(273.2*(C60+273.2))+LN(6.11))</f>
        <v>10.74721477371931</v>
      </c>
      <c r="I60" s="17"/>
      <c r="J60" s="15" t="s">
        <v>38</v>
      </c>
    </row>
    <row r="61" spans="1:10" ht="13.5">
      <c r="A61" t="s">
        <v>1</v>
      </c>
      <c r="C61">
        <v>700</v>
      </c>
      <c r="D61" t="s">
        <v>75</v>
      </c>
      <c r="F61" s="14" t="s">
        <v>77</v>
      </c>
      <c r="G61" s="14" t="s">
        <v>79</v>
      </c>
      <c r="H61" s="14">
        <f>0.622*H60/C61*1000</f>
        <v>9.549667984647732</v>
      </c>
      <c r="I61" s="14"/>
      <c r="J61" s="14" t="s">
        <v>78</v>
      </c>
    </row>
    <row r="62" spans="1:10" ht="13.5">
      <c r="A62" t="s">
        <v>76</v>
      </c>
      <c r="C62">
        <v>-15</v>
      </c>
      <c r="F62" s="14" t="s">
        <v>73</v>
      </c>
      <c r="G62" s="14" t="s">
        <v>80</v>
      </c>
      <c r="H62" s="36">
        <f>H61*(C60+273.2)/C61*((C11*C12-C13*C14*(C60+273.2))/(C13*C14*(C60+273.2)^2+H61*C11^2))*(-C62)*1000</f>
        <v>0.5659238347288972</v>
      </c>
      <c r="I62" s="14">
        <f>dqs(C60,C61,C62)</f>
        <v>0.5659238347288972</v>
      </c>
      <c r="J62" s="14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daimon</dc:creator>
  <cp:keywords/>
  <dc:description/>
  <cp:lastModifiedBy>大門</cp:lastModifiedBy>
  <cp:lastPrinted>2006-09-29T13:05:25Z</cp:lastPrinted>
  <dcterms:created xsi:type="dcterms:W3CDTF">2005-03-24T23:20:35Z</dcterms:created>
  <dcterms:modified xsi:type="dcterms:W3CDTF">2006-09-29T13:05:27Z</dcterms:modified>
  <cp:category/>
  <cp:version/>
  <cp:contentType/>
  <cp:contentStatus/>
</cp:coreProperties>
</file>